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8DF74960-4B44-408C-823D-59BECBE3F550}" xr6:coauthVersionLast="45" xr6:coauthVersionMax="45" xr10:uidLastSave="{00000000-0000-0000-0000-000000000000}"/>
  <bookViews>
    <workbookView xWindow="1590" yWindow="660" windowWidth="19980" windowHeight="13155" tabRatio="886" xr2:uid="{00000000-000D-0000-FFFF-FFFF00000000}"/>
  </bookViews>
  <sheets>
    <sheet name="INSTRUCTIONS" sheetId="10" r:id="rId1"/>
    <sheet name="DASHBOARD" sheetId="1" r:id="rId2"/>
    <sheet name="Membership Record" sheetId="2" r:id="rId3"/>
    <sheet name="Ch Operations Budget Worksheet" sheetId="7" r:id="rId4"/>
    <sheet name="House-Kitchen Budget Worksheet" sheetId="9" r:id="rId5"/>
    <sheet name="BUDGET" sheetId="4" r:id="rId6"/>
    <sheet name="Candidate-Initiation Fee Tracke" sheetId="8" r:id="rId7"/>
    <sheet name="Accounts Receivable-Collections" sheetId="5" r:id="rId8"/>
    <sheet name="Payment Registry" sheetId="6" r:id="rId9"/>
    <sheet name="NOTES" sheetId="11" r:id="rId10"/>
  </sheets>
  <definedNames>
    <definedName name="_xlnm._FilterDatabase" localSheetId="6" hidden="1">'Candidate-Initiation Fee Tracke'!$A$6:$D$306</definedName>
    <definedName name="_xlnm.Print_Area" localSheetId="5">BUDGET!$A$1:$Y$173</definedName>
    <definedName name="_xlnm.Print_Area" localSheetId="6">'Candidate-Initiation Fee Tracke'!$A$1:$P$306</definedName>
    <definedName name="_xlnm.Print_Area" localSheetId="3">'Ch Operations Budget Worksheet'!$A$1:$L$76</definedName>
    <definedName name="_xlnm.Print_Area" localSheetId="1">DASHBOARD!$A$1:$N$138</definedName>
    <definedName name="_xlnm.Print_Area" localSheetId="4">'House-Kitchen Budget Worksheet'!$A$1:$K$85</definedName>
    <definedName name="_xlnm.Print_Area" localSheetId="0">INSTRUCTIONS!$A$1:$O$242</definedName>
    <definedName name="_xlnm.Print_Area" localSheetId="2">'Membership Record'!$A$1:$U$310</definedName>
    <definedName name="_xlnm.Print_Area" localSheetId="8">'Payment Registry'!$A$1:$R$1013</definedName>
    <definedName name="_xlnm.Print_Titles" localSheetId="7">'Accounts Receivable-Collections'!$A:$C</definedName>
    <definedName name="_xlnm.Print_Titles" localSheetId="5">BUDGET!$A:$A</definedName>
    <definedName name="_xlnm.Print_Titles" localSheetId="6">'Candidate-Initiation Fee Tracke'!$A:$D,'Candidate-Initiation Fee Tracke'!$1:$6</definedName>
    <definedName name="_xlnm.Print_Titles" localSheetId="3">'Ch Operations Budget Worksheet'!$1:$1</definedName>
    <definedName name="_xlnm.Print_Titles" localSheetId="2">'Membership Record'!$A:$D,'Membership Record'!$1:$10</definedName>
    <definedName name="_xlnm.Print_Titles" localSheetId="8">'Payment Registry'!$1:$12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7" l="1"/>
  <c r="H78" i="9" l="1"/>
  <c r="K47" i="9"/>
  <c r="J29" i="2" l="1"/>
  <c r="J28" i="2"/>
  <c r="J27" i="2"/>
  <c r="J26" i="2"/>
  <c r="J25" i="2"/>
  <c r="J24" i="2"/>
  <c r="J23" i="2"/>
  <c r="J22" i="2"/>
  <c r="J20" i="2"/>
  <c r="J18" i="2"/>
  <c r="J17" i="2"/>
  <c r="J16" i="2"/>
  <c r="J13" i="2"/>
  <c r="J11" i="2"/>
  <c r="B51" i="6"/>
  <c r="B21" i="6"/>
  <c r="B20" i="6"/>
  <c r="B19" i="6"/>
  <c r="B18" i="6"/>
  <c r="B17" i="6"/>
  <c r="B16" i="6"/>
  <c r="B15" i="6"/>
  <c r="B14" i="6"/>
  <c r="B13" i="6"/>
  <c r="M5" i="6" l="1"/>
  <c r="L5" i="6"/>
  <c r="F5" i="6"/>
  <c r="G5" i="6"/>
  <c r="J5" i="6"/>
  <c r="I5" i="6"/>
  <c r="S25" i="2"/>
  <c r="S24" i="2"/>
  <c r="S23" i="2"/>
  <c r="S22" i="2"/>
  <c r="S21" i="2"/>
  <c r="S20" i="2"/>
  <c r="S19" i="2"/>
  <c r="S18" i="2"/>
  <c r="S17" i="2"/>
  <c r="S16" i="2"/>
  <c r="S12" i="2"/>
  <c r="S11" i="2"/>
  <c r="J21" i="2"/>
  <c r="J19" i="2"/>
  <c r="W29" i="6"/>
  <c r="W28" i="6"/>
  <c r="W27" i="6"/>
  <c r="W26" i="6"/>
  <c r="W25" i="6"/>
  <c r="A101" i="4"/>
  <c r="A100" i="4"/>
  <c r="A99" i="4"/>
  <c r="A98" i="4"/>
  <c r="A97" i="4"/>
  <c r="X88" i="4"/>
  <c r="M86" i="4"/>
  <c r="M85" i="4"/>
  <c r="M84" i="4"/>
  <c r="T57" i="4"/>
  <c r="T99" i="4"/>
  <c r="X96" i="4"/>
  <c r="W96" i="4"/>
  <c r="V96" i="4"/>
  <c r="U96" i="4"/>
  <c r="T96" i="4"/>
  <c r="S96" i="4"/>
  <c r="R96" i="4"/>
  <c r="Q96" i="4"/>
  <c r="P96" i="4"/>
  <c r="O96" i="4"/>
  <c r="N96" i="4"/>
  <c r="M96" i="4"/>
  <c r="X95" i="4"/>
  <c r="W95" i="4"/>
  <c r="V95" i="4"/>
  <c r="U95" i="4"/>
  <c r="T95" i="4"/>
  <c r="S95" i="4"/>
  <c r="R95" i="4"/>
  <c r="Q95" i="4"/>
  <c r="P95" i="4"/>
  <c r="O95" i="4"/>
  <c r="N95" i="4"/>
  <c r="M95" i="4"/>
  <c r="X94" i="4"/>
  <c r="W94" i="4"/>
  <c r="V94" i="4"/>
  <c r="U94" i="4"/>
  <c r="T94" i="4"/>
  <c r="S94" i="4"/>
  <c r="R94" i="4"/>
  <c r="Q94" i="4"/>
  <c r="P94" i="4"/>
  <c r="O94" i="4"/>
  <c r="N94" i="4"/>
  <c r="M94" i="4"/>
  <c r="X93" i="4"/>
  <c r="W93" i="4"/>
  <c r="V93" i="4"/>
  <c r="U93" i="4"/>
  <c r="T93" i="4"/>
  <c r="S93" i="4"/>
  <c r="R93" i="4"/>
  <c r="Q93" i="4"/>
  <c r="P93" i="4"/>
  <c r="O93" i="4"/>
  <c r="N93" i="4"/>
  <c r="M93" i="4"/>
  <c r="X92" i="4"/>
  <c r="W92" i="4"/>
  <c r="V92" i="4"/>
  <c r="U92" i="4"/>
  <c r="T92" i="4"/>
  <c r="S92" i="4"/>
  <c r="R92" i="4"/>
  <c r="Q92" i="4"/>
  <c r="P92" i="4"/>
  <c r="O92" i="4"/>
  <c r="N92" i="4"/>
  <c r="M92" i="4"/>
  <c r="X91" i="4"/>
  <c r="W91" i="4"/>
  <c r="V91" i="4"/>
  <c r="U91" i="4"/>
  <c r="T91" i="4"/>
  <c r="S91" i="4"/>
  <c r="R91" i="4"/>
  <c r="Q91" i="4"/>
  <c r="P91" i="4"/>
  <c r="O91" i="4"/>
  <c r="N91" i="4"/>
  <c r="M91" i="4"/>
  <c r="X90" i="4"/>
  <c r="W90" i="4"/>
  <c r="V90" i="4"/>
  <c r="U90" i="4"/>
  <c r="T90" i="4"/>
  <c r="S90" i="4"/>
  <c r="R90" i="4"/>
  <c r="Q90" i="4"/>
  <c r="P90" i="4"/>
  <c r="O90" i="4"/>
  <c r="N90" i="4"/>
  <c r="M90" i="4"/>
  <c r="X89" i="4"/>
  <c r="W89" i="4"/>
  <c r="V89" i="4"/>
  <c r="U89" i="4"/>
  <c r="T89" i="4"/>
  <c r="S89" i="4"/>
  <c r="R89" i="4"/>
  <c r="Q89" i="4"/>
  <c r="P89" i="4"/>
  <c r="O89" i="4"/>
  <c r="N89" i="4"/>
  <c r="M89" i="4"/>
  <c r="W88" i="4"/>
  <c r="V88" i="4"/>
  <c r="U88" i="4"/>
  <c r="T88" i="4"/>
  <c r="S88" i="4"/>
  <c r="R88" i="4"/>
  <c r="Q88" i="4"/>
  <c r="P88" i="4"/>
  <c r="O88" i="4"/>
  <c r="N88" i="4"/>
  <c r="M88" i="4"/>
  <c r="S87" i="4"/>
  <c r="R87" i="4"/>
  <c r="Q87" i="4"/>
  <c r="P87" i="4"/>
  <c r="O87" i="4"/>
  <c r="N87" i="4"/>
  <c r="M87" i="4"/>
  <c r="X87" i="4"/>
  <c r="W87" i="4"/>
  <c r="V87" i="4"/>
  <c r="U87" i="4"/>
  <c r="T87" i="4"/>
  <c r="X86" i="4"/>
  <c r="W86" i="4"/>
  <c r="V86" i="4"/>
  <c r="U86" i="4"/>
  <c r="T86" i="4"/>
  <c r="S86" i="4"/>
  <c r="R86" i="4"/>
  <c r="Q86" i="4"/>
  <c r="P86" i="4"/>
  <c r="O86" i="4"/>
  <c r="N86" i="4"/>
  <c r="X85" i="4"/>
  <c r="W85" i="4"/>
  <c r="V85" i="4"/>
  <c r="U85" i="4"/>
  <c r="T85" i="4"/>
  <c r="S85" i="4"/>
  <c r="R85" i="4"/>
  <c r="Q85" i="4"/>
  <c r="P85" i="4"/>
  <c r="O85" i="4"/>
  <c r="N85" i="4"/>
  <c r="X84" i="4"/>
  <c r="W84" i="4"/>
  <c r="V84" i="4"/>
  <c r="U84" i="4"/>
  <c r="T84" i="4"/>
  <c r="S84" i="4"/>
  <c r="R84" i="4"/>
  <c r="Q84" i="4"/>
  <c r="P84" i="4"/>
  <c r="O84" i="4"/>
  <c r="N84" i="4"/>
  <c r="X83" i="4"/>
  <c r="W83" i="4"/>
  <c r="V83" i="4"/>
  <c r="U83" i="4"/>
  <c r="T83" i="4"/>
  <c r="S83" i="4"/>
  <c r="R83" i="4"/>
  <c r="Q83" i="4"/>
  <c r="P83" i="4"/>
  <c r="O83" i="4"/>
  <c r="N83" i="4"/>
  <c r="M83" i="4"/>
  <c r="X82" i="4"/>
  <c r="W82" i="4"/>
  <c r="V82" i="4"/>
  <c r="U82" i="4"/>
  <c r="T82" i="4"/>
  <c r="S82" i="4"/>
  <c r="R82" i="4"/>
  <c r="Q82" i="4"/>
  <c r="P82" i="4"/>
  <c r="O82" i="4"/>
  <c r="N82" i="4"/>
  <c r="M82" i="4"/>
  <c r="X81" i="4"/>
  <c r="W81" i="4"/>
  <c r="V81" i="4"/>
  <c r="U81" i="4"/>
  <c r="T81" i="4"/>
  <c r="S81" i="4"/>
  <c r="R81" i="4"/>
  <c r="Q81" i="4"/>
  <c r="P81" i="4"/>
  <c r="O81" i="4"/>
  <c r="N81" i="4"/>
  <c r="M81" i="4"/>
  <c r="X80" i="4"/>
  <c r="W80" i="4"/>
  <c r="V80" i="4"/>
  <c r="U80" i="4"/>
  <c r="T80" i="4"/>
  <c r="S80" i="4"/>
  <c r="R80" i="4"/>
  <c r="Q80" i="4"/>
  <c r="P80" i="4"/>
  <c r="O80" i="4"/>
  <c r="N80" i="4"/>
  <c r="M80" i="4"/>
  <c r="X79" i="4"/>
  <c r="W79" i="4"/>
  <c r="V79" i="4"/>
  <c r="U79" i="4"/>
  <c r="T79" i="4"/>
  <c r="S79" i="4"/>
  <c r="R79" i="4"/>
  <c r="Q79" i="4"/>
  <c r="P79" i="4"/>
  <c r="O79" i="4"/>
  <c r="N79" i="4"/>
  <c r="M79" i="4"/>
  <c r="X78" i="4"/>
  <c r="W78" i="4"/>
  <c r="V78" i="4"/>
  <c r="U78" i="4"/>
  <c r="T78" i="4"/>
  <c r="S78" i="4"/>
  <c r="R78" i="4"/>
  <c r="Q78" i="4"/>
  <c r="P78" i="4"/>
  <c r="O78" i="4"/>
  <c r="N78" i="4"/>
  <c r="M78" i="4"/>
  <c r="X77" i="4"/>
  <c r="W77" i="4"/>
  <c r="V77" i="4"/>
  <c r="U77" i="4"/>
  <c r="T77" i="4"/>
  <c r="S77" i="4"/>
  <c r="R77" i="4"/>
  <c r="Q77" i="4"/>
  <c r="P77" i="4"/>
  <c r="O77" i="4"/>
  <c r="N77" i="4"/>
  <c r="M77" i="4"/>
  <c r="X70" i="4"/>
  <c r="W70" i="4"/>
  <c r="V70" i="4"/>
  <c r="U70" i="4"/>
  <c r="T70" i="4"/>
  <c r="S70" i="4"/>
  <c r="R70" i="4"/>
  <c r="Q70" i="4"/>
  <c r="P70" i="4"/>
  <c r="O70" i="4"/>
  <c r="N70" i="4"/>
  <c r="M70" i="4"/>
  <c r="X68" i="4"/>
  <c r="W68" i="4"/>
  <c r="V68" i="4"/>
  <c r="U68" i="4"/>
  <c r="T68" i="4"/>
  <c r="S68" i="4"/>
  <c r="R68" i="4"/>
  <c r="Q68" i="4"/>
  <c r="P68" i="4"/>
  <c r="O68" i="4"/>
  <c r="N68" i="4"/>
  <c r="M68" i="4"/>
  <c r="X66" i="4"/>
  <c r="W66" i="4"/>
  <c r="V66" i="4"/>
  <c r="U66" i="4"/>
  <c r="T66" i="4"/>
  <c r="S66" i="4"/>
  <c r="R66" i="4"/>
  <c r="Q66" i="4"/>
  <c r="P66" i="4"/>
  <c r="O66" i="4"/>
  <c r="N66" i="4"/>
  <c r="M66" i="4"/>
  <c r="X63" i="4"/>
  <c r="W63" i="4"/>
  <c r="V63" i="4"/>
  <c r="U63" i="4"/>
  <c r="T63" i="4"/>
  <c r="S63" i="4"/>
  <c r="R63" i="4"/>
  <c r="Q63" i="4"/>
  <c r="P63" i="4"/>
  <c r="O63" i="4"/>
  <c r="N63" i="4"/>
  <c r="M63" i="4"/>
  <c r="X62" i="4"/>
  <c r="W62" i="4"/>
  <c r="V62" i="4"/>
  <c r="U62" i="4"/>
  <c r="T62" i="4"/>
  <c r="S62" i="4"/>
  <c r="R62" i="4"/>
  <c r="Q62" i="4"/>
  <c r="P62" i="4"/>
  <c r="O62" i="4"/>
  <c r="N62" i="4"/>
  <c r="M62" i="4"/>
  <c r="X60" i="4"/>
  <c r="W60" i="4"/>
  <c r="V60" i="4"/>
  <c r="U60" i="4"/>
  <c r="T60" i="4"/>
  <c r="S60" i="4"/>
  <c r="R60" i="4"/>
  <c r="Q60" i="4"/>
  <c r="P60" i="4"/>
  <c r="O60" i="4"/>
  <c r="N60" i="4"/>
  <c r="M60" i="4"/>
  <c r="X57" i="4"/>
  <c r="W57" i="4"/>
  <c r="V57" i="4"/>
  <c r="U57" i="4"/>
  <c r="S57" i="4"/>
  <c r="R57" i="4"/>
  <c r="Q57" i="4"/>
  <c r="P57" i="4"/>
  <c r="O57" i="4"/>
  <c r="N57" i="4"/>
  <c r="M57" i="4"/>
  <c r="X56" i="4"/>
  <c r="W56" i="4"/>
  <c r="V56" i="4"/>
  <c r="U56" i="4"/>
  <c r="T56" i="4"/>
  <c r="S56" i="4"/>
  <c r="R56" i="4"/>
  <c r="Q56" i="4"/>
  <c r="P56" i="4"/>
  <c r="O56" i="4"/>
  <c r="N56" i="4"/>
  <c r="M56" i="4"/>
  <c r="X55" i="4"/>
  <c r="W55" i="4"/>
  <c r="V55" i="4"/>
  <c r="U55" i="4"/>
  <c r="T55" i="4"/>
  <c r="S55" i="4"/>
  <c r="R55" i="4"/>
  <c r="Q55" i="4"/>
  <c r="P55" i="4"/>
  <c r="O55" i="4"/>
  <c r="N55" i="4"/>
  <c r="M55" i="4"/>
  <c r="X54" i="4"/>
  <c r="W54" i="4"/>
  <c r="V54" i="4"/>
  <c r="U54" i="4"/>
  <c r="T54" i="4"/>
  <c r="S54" i="4"/>
  <c r="R54" i="4"/>
  <c r="Q54" i="4"/>
  <c r="P54" i="4"/>
  <c r="O54" i="4"/>
  <c r="N54" i="4"/>
  <c r="M54" i="4"/>
  <c r="W99" i="4" l="1"/>
  <c r="R99" i="4"/>
  <c r="N99" i="4"/>
  <c r="U99" i="4"/>
  <c r="X99" i="4"/>
  <c r="O99" i="4"/>
  <c r="V99" i="4"/>
  <c r="Q99" i="4"/>
  <c r="M99" i="4"/>
  <c r="P99" i="4"/>
  <c r="S99" i="4"/>
  <c r="W100" i="4"/>
  <c r="S100" i="4"/>
  <c r="O100" i="4"/>
  <c r="Q100" i="4"/>
  <c r="T100" i="4"/>
  <c r="V100" i="4"/>
  <c r="R100" i="4"/>
  <c r="N100" i="4"/>
  <c r="U100" i="4"/>
  <c r="M100" i="4"/>
  <c r="X100" i="4"/>
  <c r="P100" i="4"/>
  <c r="W101" i="4"/>
  <c r="S101" i="4"/>
  <c r="O101" i="4"/>
  <c r="Q101" i="4"/>
  <c r="M101" i="4"/>
  <c r="T101" i="4"/>
  <c r="P101" i="4"/>
  <c r="V101" i="4"/>
  <c r="R101" i="4"/>
  <c r="N101" i="4"/>
  <c r="U101" i="4"/>
  <c r="X101" i="4"/>
  <c r="K5" i="6"/>
  <c r="V98" i="4"/>
  <c r="R98" i="4"/>
  <c r="N98" i="4"/>
  <c r="X98" i="4"/>
  <c r="P98" i="4"/>
  <c r="S98" i="4"/>
  <c r="U98" i="4"/>
  <c r="Q98" i="4"/>
  <c r="M98" i="4"/>
  <c r="T98" i="4"/>
  <c r="W98" i="4"/>
  <c r="O98" i="4"/>
  <c r="X97" i="4"/>
  <c r="T97" i="4"/>
  <c r="P97" i="4"/>
  <c r="R97" i="4"/>
  <c r="U97" i="4"/>
  <c r="M97" i="4"/>
  <c r="W97" i="4"/>
  <c r="S97" i="4"/>
  <c r="O97" i="4"/>
  <c r="V97" i="4"/>
  <c r="N97" i="4"/>
  <c r="Q97" i="4"/>
  <c r="H5" i="6"/>
  <c r="N5" i="6"/>
  <c r="X31" i="4"/>
  <c r="W31" i="4"/>
  <c r="V31" i="4"/>
  <c r="U31" i="4"/>
  <c r="T31" i="4"/>
  <c r="S31" i="4"/>
  <c r="R31" i="4"/>
  <c r="Q31" i="4"/>
  <c r="P31" i="4"/>
  <c r="O31" i="4"/>
  <c r="N31" i="4"/>
  <c r="M31" i="4"/>
  <c r="X161" i="4"/>
  <c r="X160" i="4"/>
  <c r="X159" i="4"/>
  <c r="X158" i="4"/>
  <c r="X157" i="4"/>
  <c r="X156" i="4"/>
  <c r="X155" i="4"/>
  <c r="X153" i="4"/>
  <c r="X152" i="4"/>
  <c r="X151" i="4"/>
  <c r="X149" i="4"/>
  <c r="X148" i="4"/>
  <c r="X141" i="4"/>
  <c r="X140" i="4"/>
  <c r="X139" i="4"/>
  <c r="X138" i="4"/>
  <c r="X137" i="4"/>
  <c r="X136" i="4"/>
  <c r="X135" i="4"/>
  <c r="X134" i="4"/>
  <c r="X133" i="4"/>
  <c r="X132" i="4"/>
  <c r="X131" i="4"/>
  <c r="X130" i="4"/>
  <c r="X129" i="4"/>
  <c r="X128" i="4"/>
  <c r="X127" i="4"/>
  <c r="X126" i="4"/>
  <c r="X125" i="4"/>
  <c r="X124" i="4"/>
  <c r="X122" i="4"/>
  <c r="X121" i="4"/>
  <c r="X120" i="4"/>
  <c r="X119" i="4"/>
  <c r="X118" i="4"/>
  <c r="X117" i="4"/>
  <c r="X116" i="4"/>
  <c r="X114" i="4"/>
  <c r="X113" i="4"/>
  <c r="X112" i="4"/>
  <c r="W161" i="4"/>
  <c r="W160" i="4"/>
  <c r="W159" i="4"/>
  <c r="W158" i="4"/>
  <c r="W157" i="4"/>
  <c r="W156" i="4"/>
  <c r="W155" i="4"/>
  <c r="W153" i="4"/>
  <c r="W152" i="4"/>
  <c r="W151" i="4"/>
  <c r="W149" i="4"/>
  <c r="W148" i="4"/>
  <c r="W141" i="4"/>
  <c r="W140" i="4"/>
  <c r="W139" i="4"/>
  <c r="W138" i="4"/>
  <c r="W137" i="4"/>
  <c r="W136" i="4"/>
  <c r="W135" i="4"/>
  <c r="W134" i="4"/>
  <c r="W133" i="4"/>
  <c r="W132" i="4"/>
  <c r="W131" i="4"/>
  <c r="W130" i="4"/>
  <c r="W129" i="4"/>
  <c r="W128" i="4"/>
  <c r="W127" i="4"/>
  <c r="W126" i="4"/>
  <c r="W125" i="4"/>
  <c r="W124" i="4"/>
  <c r="W122" i="4"/>
  <c r="W121" i="4"/>
  <c r="W120" i="4"/>
  <c r="W119" i="4"/>
  <c r="W118" i="4"/>
  <c r="W117" i="4"/>
  <c r="W116" i="4"/>
  <c r="W114" i="4"/>
  <c r="V114" i="4"/>
  <c r="W113" i="4"/>
  <c r="W112" i="4"/>
  <c r="V161" i="4"/>
  <c r="V160" i="4"/>
  <c r="V159" i="4"/>
  <c r="V158" i="4"/>
  <c r="V157" i="4"/>
  <c r="V156" i="4"/>
  <c r="V155" i="4"/>
  <c r="V153" i="4"/>
  <c r="V152" i="4"/>
  <c r="V151" i="4"/>
  <c r="V149" i="4"/>
  <c r="V148" i="4"/>
  <c r="V141" i="4"/>
  <c r="V140" i="4"/>
  <c r="V139" i="4"/>
  <c r="V138" i="4"/>
  <c r="V137" i="4"/>
  <c r="V136" i="4"/>
  <c r="V135" i="4"/>
  <c r="V134" i="4"/>
  <c r="V133" i="4"/>
  <c r="V132" i="4"/>
  <c r="V131" i="4"/>
  <c r="V130" i="4"/>
  <c r="V129" i="4"/>
  <c r="V128" i="4"/>
  <c r="V127" i="4"/>
  <c r="V126" i="4"/>
  <c r="V125" i="4"/>
  <c r="V124" i="4"/>
  <c r="V122" i="4"/>
  <c r="V121" i="4"/>
  <c r="V120" i="4"/>
  <c r="V119" i="4"/>
  <c r="V118" i="4"/>
  <c r="V117" i="4"/>
  <c r="V116" i="4"/>
  <c r="V113" i="4"/>
  <c r="V112" i="4"/>
  <c r="U161" i="4"/>
  <c r="U160" i="4"/>
  <c r="U159" i="4"/>
  <c r="U158" i="4"/>
  <c r="U157" i="4"/>
  <c r="U156" i="4"/>
  <c r="U155" i="4"/>
  <c r="U153" i="4"/>
  <c r="U152" i="4"/>
  <c r="U151" i="4"/>
  <c r="U149" i="4"/>
  <c r="U148" i="4"/>
  <c r="U141" i="4"/>
  <c r="U140" i="4"/>
  <c r="U139" i="4"/>
  <c r="U138" i="4"/>
  <c r="U137" i="4"/>
  <c r="U136" i="4"/>
  <c r="U135" i="4"/>
  <c r="U134" i="4"/>
  <c r="U133" i="4"/>
  <c r="U132" i="4"/>
  <c r="U131" i="4"/>
  <c r="U130" i="4"/>
  <c r="U129" i="4"/>
  <c r="U128" i="4"/>
  <c r="U127" i="4"/>
  <c r="U126" i="4"/>
  <c r="U125" i="4"/>
  <c r="U124" i="4"/>
  <c r="U122" i="4"/>
  <c r="U121" i="4"/>
  <c r="U120" i="4"/>
  <c r="U119" i="4"/>
  <c r="U118" i="4"/>
  <c r="U117" i="4"/>
  <c r="U116" i="4"/>
  <c r="U114" i="4"/>
  <c r="U113" i="4"/>
  <c r="U112" i="4"/>
  <c r="T161" i="4"/>
  <c r="T160" i="4"/>
  <c r="T159" i="4"/>
  <c r="T158" i="4"/>
  <c r="T157" i="4"/>
  <c r="T156" i="4"/>
  <c r="T155" i="4"/>
  <c r="T153" i="4"/>
  <c r="T152" i="4"/>
  <c r="T151" i="4"/>
  <c r="T149" i="4"/>
  <c r="T148" i="4"/>
  <c r="T141" i="4"/>
  <c r="T140" i="4"/>
  <c r="T139" i="4"/>
  <c r="T138" i="4"/>
  <c r="T137" i="4"/>
  <c r="T136" i="4"/>
  <c r="T135" i="4"/>
  <c r="T134" i="4"/>
  <c r="T133" i="4"/>
  <c r="T132" i="4"/>
  <c r="T131" i="4"/>
  <c r="T130" i="4"/>
  <c r="T129" i="4"/>
  <c r="T128" i="4"/>
  <c r="T127" i="4"/>
  <c r="T126" i="4"/>
  <c r="T125" i="4"/>
  <c r="T124" i="4"/>
  <c r="T122" i="4"/>
  <c r="T121" i="4"/>
  <c r="T120" i="4"/>
  <c r="T119" i="4"/>
  <c r="T118" i="4"/>
  <c r="T117" i="4"/>
  <c r="T116" i="4"/>
  <c r="T114" i="4"/>
  <c r="T113" i="4"/>
  <c r="T112" i="4"/>
  <c r="S161" i="4"/>
  <c r="S160" i="4"/>
  <c r="S159" i="4"/>
  <c r="S158" i="4"/>
  <c r="S157" i="4"/>
  <c r="S156" i="4"/>
  <c r="S155" i="4"/>
  <c r="S153" i="4"/>
  <c r="S152" i="4"/>
  <c r="S151" i="4"/>
  <c r="S149" i="4"/>
  <c r="S148" i="4"/>
  <c r="S141" i="4"/>
  <c r="S140" i="4"/>
  <c r="S139" i="4"/>
  <c r="S138" i="4"/>
  <c r="S137" i="4"/>
  <c r="S136" i="4"/>
  <c r="S135" i="4"/>
  <c r="S134" i="4"/>
  <c r="S133" i="4"/>
  <c r="S132" i="4"/>
  <c r="S131" i="4"/>
  <c r="S130" i="4"/>
  <c r="S129" i="4"/>
  <c r="S128" i="4"/>
  <c r="S127" i="4"/>
  <c r="S126" i="4"/>
  <c r="S125" i="4"/>
  <c r="S124" i="4"/>
  <c r="S122" i="4"/>
  <c r="S121" i="4"/>
  <c r="S120" i="4"/>
  <c r="S119" i="4"/>
  <c r="S118" i="4"/>
  <c r="S117" i="4"/>
  <c r="S116" i="4"/>
  <c r="S114" i="4"/>
  <c r="S113" i="4"/>
  <c r="S112" i="4"/>
  <c r="R161" i="4"/>
  <c r="R160" i="4"/>
  <c r="R159" i="4"/>
  <c r="R158" i="4"/>
  <c r="R157" i="4"/>
  <c r="R156" i="4"/>
  <c r="R155" i="4"/>
  <c r="R153" i="4"/>
  <c r="R152" i="4"/>
  <c r="R151" i="4"/>
  <c r="R149" i="4"/>
  <c r="R148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2" i="4"/>
  <c r="R121" i="4"/>
  <c r="R120" i="4"/>
  <c r="R119" i="4"/>
  <c r="R118" i="4"/>
  <c r="R117" i="4"/>
  <c r="R116" i="4"/>
  <c r="R114" i="4"/>
  <c r="R113" i="4"/>
  <c r="R112" i="4"/>
  <c r="Q161" i="4"/>
  <c r="Q160" i="4"/>
  <c r="Q159" i="4"/>
  <c r="Q158" i="4"/>
  <c r="Q157" i="4"/>
  <c r="Q156" i="4"/>
  <c r="Q153" i="4"/>
  <c r="Q152" i="4"/>
  <c r="Q151" i="4"/>
  <c r="Q149" i="4"/>
  <c r="Q148" i="4"/>
  <c r="Q141" i="4"/>
  <c r="Q140" i="4"/>
  <c r="Q139" i="4"/>
  <c r="Q138" i="4"/>
  <c r="Q137" i="4"/>
  <c r="Q136" i="4"/>
  <c r="Q135" i="4"/>
  <c r="Q134" i="4"/>
  <c r="Q133" i="4"/>
  <c r="Q132" i="4"/>
  <c r="Q131" i="4"/>
  <c r="Q130" i="4"/>
  <c r="Q129" i="4"/>
  <c r="Q128" i="4"/>
  <c r="Q127" i="4"/>
  <c r="Q126" i="4"/>
  <c r="Q125" i="4"/>
  <c r="Q124" i="4"/>
  <c r="Q122" i="4"/>
  <c r="Q121" i="4"/>
  <c r="Q120" i="4"/>
  <c r="Q119" i="4"/>
  <c r="Q118" i="4"/>
  <c r="Q117" i="4"/>
  <c r="Q116" i="4"/>
  <c r="Q114" i="4"/>
  <c r="Q113" i="4"/>
  <c r="Q112" i="4"/>
  <c r="P161" i="4"/>
  <c r="P160" i="4"/>
  <c r="P159" i="4"/>
  <c r="P158" i="4"/>
  <c r="P157" i="4"/>
  <c r="P156" i="4"/>
  <c r="P153" i="4"/>
  <c r="P152" i="4"/>
  <c r="P151" i="4"/>
  <c r="P149" i="4"/>
  <c r="P148" i="4"/>
  <c r="P141" i="4"/>
  <c r="P140" i="4"/>
  <c r="P139" i="4"/>
  <c r="P138" i="4"/>
  <c r="P137" i="4"/>
  <c r="P136" i="4"/>
  <c r="P135" i="4"/>
  <c r="P134" i="4"/>
  <c r="P133" i="4"/>
  <c r="P132" i="4"/>
  <c r="P131" i="4"/>
  <c r="P130" i="4"/>
  <c r="P129" i="4"/>
  <c r="P128" i="4"/>
  <c r="P127" i="4"/>
  <c r="P126" i="4"/>
  <c r="P125" i="4"/>
  <c r="P124" i="4"/>
  <c r="P122" i="4"/>
  <c r="P121" i="4"/>
  <c r="P120" i="4"/>
  <c r="P119" i="4"/>
  <c r="P118" i="4"/>
  <c r="P117" i="4"/>
  <c r="P116" i="4"/>
  <c r="P114" i="4"/>
  <c r="P113" i="4"/>
  <c r="P112" i="4"/>
  <c r="O141" i="4"/>
  <c r="O140" i="4"/>
  <c r="O139" i="4"/>
  <c r="O138" i="4"/>
  <c r="O137" i="4"/>
  <c r="O136" i="4"/>
  <c r="O135" i="4"/>
  <c r="O134" i="4"/>
  <c r="O133" i="4"/>
  <c r="O132" i="4"/>
  <c r="O131" i="4"/>
  <c r="O130" i="4"/>
  <c r="O129" i="4"/>
  <c r="O128" i="4"/>
  <c r="O127" i="4"/>
  <c r="O126" i="4"/>
  <c r="O125" i="4"/>
  <c r="O124" i="4"/>
  <c r="O122" i="4"/>
  <c r="O121" i="4"/>
  <c r="O120" i="4"/>
  <c r="O119" i="4"/>
  <c r="O118" i="4"/>
  <c r="O117" i="4"/>
  <c r="O116" i="4"/>
  <c r="O114" i="4"/>
  <c r="O113" i="4"/>
  <c r="O112" i="4"/>
  <c r="G118" i="4" l="1"/>
  <c r="G127" i="4"/>
  <c r="G135" i="4"/>
  <c r="G149" i="4"/>
  <c r="G159" i="4"/>
  <c r="G113" i="4"/>
  <c r="G122" i="4"/>
  <c r="G131" i="4"/>
  <c r="G139" i="4"/>
  <c r="G155" i="4"/>
  <c r="O143" i="4"/>
  <c r="G116" i="4"/>
  <c r="G120" i="4"/>
  <c r="G125" i="4"/>
  <c r="G129" i="4"/>
  <c r="G133" i="4"/>
  <c r="G137" i="4"/>
  <c r="G141" i="4"/>
  <c r="G152" i="4"/>
  <c r="G157" i="4"/>
  <c r="G161" i="4"/>
  <c r="G151" i="4"/>
  <c r="G156" i="4"/>
  <c r="G160" i="4"/>
  <c r="G148" i="4"/>
  <c r="G153" i="4"/>
  <c r="G158" i="4"/>
  <c r="G114" i="4"/>
  <c r="G119" i="4"/>
  <c r="G124" i="4"/>
  <c r="G128" i="4"/>
  <c r="G132" i="4"/>
  <c r="G136" i="4"/>
  <c r="G140" i="4"/>
  <c r="G112" i="4"/>
  <c r="G117" i="4"/>
  <c r="G121" i="4"/>
  <c r="G126" i="4"/>
  <c r="G130" i="4"/>
  <c r="G134" i="4"/>
  <c r="G138" i="4"/>
  <c r="X163" i="4"/>
  <c r="X143" i="4"/>
  <c r="W163" i="4"/>
  <c r="W143" i="4"/>
  <c r="V163" i="4"/>
  <c r="V143" i="4"/>
  <c r="U163" i="4"/>
  <c r="U143" i="4"/>
  <c r="T163" i="4"/>
  <c r="T143" i="4"/>
  <c r="S163" i="4"/>
  <c r="S143" i="4"/>
  <c r="R163" i="4"/>
  <c r="R143" i="4"/>
  <c r="Q143" i="4"/>
  <c r="P143" i="4"/>
  <c r="O161" i="4"/>
  <c r="O160" i="4"/>
  <c r="O159" i="4"/>
  <c r="O158" i="4"/>
  <c r="O157" i="4"/>
  <c r="O156" i="4"/>
  <c r="O153" i="4"/>
  <c r="O152" i="4"/>
  <c r="O151" i="4"/>
  <c r="O149" i="4"/>
  <c r="O148" i="4"/>
  <c r="N161" i="4"/>
  <c r="N160" i="4"/>
  <c r="N159" i="4"/>
  <c r="N158" i="4"/>
  <c r="N157" i="4"/>
  <c r="N156" i="4"/>
  <c r="N153" i="4"/>
  <c r="N152" i="4"/>
  <c r="N151" i="4"/>
  <c r="N149" i="4"/>
  <c r="N148" i="4"/>
  <c r="N141" i="4"/>
  <c r="N140" i="4"/>
  <c r="N139" i="4"/>
  <c r="N138" i="4"/>
  <c r="N137" i="4"/>
  <c r="N136" i="4"/>
  <c r="N135" i="4"/>
  <c r="N134" i="4"/>
  <c r="N133" i="4"/>
  <c r="N132" i="4"/>
  <c r="N131" i="4"/>
  <c r="N130" i="4"/>
  <c r="N129" i="4"/>
  <c r="N128" i="4"/>
  <c r="N127" i="4"/>
  <c r="N126" i="4"/>
  <c r="N125" i="4"/>
  <c r="N124" i="4"/>
  <c r="N122" i="4"/>
  <c r="N121" i="4"/>
  <c r="N120" i="4"/>
  <c r="N119" i="4"/>
  <c r="N118" i="4"/>
  <c r="N117" i="4"/>
  <c r="N116" i="4"/>
  <c r="N114" i="4"/>
  <c r="N113" i="4"/>
  <c r="N112" i="4"/>
  <c r="M161" i="4"/>
  <c r="M160" i="4"/>
  <c r="M159" i="4"/>
  <c r="M158" i="4"/>
  <c r="M157" i="4"/>
  <c r="M156" i="4"/>
  <c r="M153" i="4"/>
  <c r="M152" i="4"/>
  <c r="M151" i="4"/>
  <c r="M149" i="4"/>
  <c r="M148" i="4"/>
  <c r="M141" i="4"/>
  <c r="M140" i="4"/>
  <c r="M138" i="4"/>
  <c r="M139" i="4"/>
  <c r="F139" i="4" s="1"/>
  <c r="M137" i="4"/>
  <c r="M136" i="4"/>
  <c r="M135" i="4"/>
  <c r="M134" i="4"/>
  <c r="M133" i="4"/>
  <c r="M132" i="4"/>
  <c r="M131" i="4"/>
  <c r="M130" i="4"/>
  <c r="M129" i="4"/>
  <c r="M128" i="4"/>
  <c r="M127" i="4"/>
  <c r="M126" i="4"/>
  <c r="M125" i="4"/>
  <c r="M124" i="4"/>
  <c r="M122" i="4"/>
  <c r="M121" i="4"/>
  <c r="M120" i="4"/>
  <c r="M119" i="4"/>
  <c r="M118" i="4"/>
  <c r="M117" i="4"/>
  <c r="M116" i="4"/>
  <c r="M114" i="4"/>
  <c r="M113" i="4"/>
  <c r="M112" i="4"/>
  <c r="F41" i="4"/>
  <c r="F24" i="4"/>
  <c r="X45" i="4"/>
  <c r="X47" i="4" s="1"/>
  <c r="W45" i="4"/>
  <c r="W47" i="4" s="1"/>
  <c r="V45" i="4"/>
  <c r="V47" i="4" s="1"/>
  <c r="U45" i="4"/>
  <c r="T45" i="4"/>
  <c r="T47" i="4" s="1"/>
  <c r="S45" i="4"/>
  <c r="S47" i="4" s="1"/>
  <c r="R45" i="4"/>
  <c r="R47" i="4" s="1"/>
  <c r="Q45" i="4"/>
  <c r="Q47" i="4" s="1"/>
  <c r="P45" i="4"/>
  <c r="P47" i="4" s="1"/>
  <c r="O45" i="4"/>
  <c r="O47" i="4" s="1"/>
  <c r="N45" i="4"/>
  <c r="N47" i="4" s="1"/>
  <c r="M45" i="4"/>
  <c r="M47" i="4" s="1"/>
  <c r="X33" i="4"/>
  <c r="X35" i="4" s="1"/>
  <c r="W33" i="4"/>
  <c r="W35" i="4" s="1"/>
  <c r="V33" i="4"/>
  <c r="V35" i="4" s="1"/>
  <c r="U33" i="4"/>
  <c r="T33" i="4"/>
  <c r="T35" i="4" s="1"/>
  <c r="S33" i="4"/>
  <c r="S35" i="4" s="1"/>
  <c r="R33" i="4"/>
  <c r="R35" i="4" s="1"/>
  <c r="Q33" i="4"/>
  <c r="Q35" i="4" s="1"/>
  <c r="P33" i="4"/>
  <c r="P35" i="4" s="1"/>
  <c r="O33" i="4"/>
  <c r="O35" i="4" s="1"/>
  <c r="N33" i="4"/>
  <c r="N35" i="4" s="1"/>
  <c r="M33" i="4"/>
  <c r="M35" i="4" s="1"/>
  <c r="M16" i="4"/>
  <c r="O309" i="5"/>
  <c r="O308" i="5"/>
  <c r="O307" i="5"/>
  <c r="O306" i="5"/>
  <c r="O305" i="5"/>
  <c r="O304" i="5"/>
  <c r="O303" i="5"/>
  <c r="O302" i="5"/>
  <c r="O301" i="5"/>
  <c r="O300" i="5"/>
  <c r="O299" i="5"/>
  <c r="O298" i="5"/>
  <c r="O297" i="5"/>
  <c r="O296" i="5"/>
  <c r="O295" i="5"/>
  <c r="O294" i="5"/>
  <c r="O293" i="5"/>
  <c r="O292" i="5"/>
  <c r="O291" i="5"/>
  <c r="O290" i="5"/>
  <c r="O289" i="5"/>
  <c r="O288" i="5"/>
  <c r="O287" i="5"/>
  <c r="O286" i="5"/>
  <c r="O285" i="5"/>
  <c r="O284" i="5"/>
  <c r="O283" i="5"/>
  <c r="O282" i="5"/>
  <c r="O281" i="5"/>
  <c r="O280" i="5"/>
  <c r="O279" i="5"/>
  <c r="O278" i="5"/>
  <c r="O277" i="5"/>
  <c r="O276" i="5"/>
  <c r="O275" i="5"/>
  <c r="O274" i="5"/>
  <c r="O273" i="5"/>
  <c r="O272" i="5"/>
  <c r="O271" i="5"/>
  <c r="O270" i="5"/>
  <c r="O269" i="5"/>
  <c r="O268" i="5"/>
  <c r="O267" i="5"/>
  <c r="O266" i="5"/>
  <c r="O265" i="5"/>
  <c r="O264" i="5"/>
  <c r="O263" i="5"/>
  <c r="O262" i="5"/>
  <c r="O261" i="5"/>
  <c r="O260" i="5"/>
  <c r="O259" i="5"/>
  <c r="O258" i="5"/>
  <c r="O257" i="5"/>
  <c r="O256" i="5"/>
  <c r="O255" i="5"/>
  <c r="O254" i="5"/>
  <c r="O253" i="5"/>
  <c r="O252" i="5"/>
  <c r="O251" i="5"/>
  <c r="O250" i="5"/>
  <c r="O249" i="5"/>
  <c r="O248" i="5"/>
  <c r="O247" i="5"/>
  <c r="O246" i="5"/>
  <c r="O245" i="5"/>
  <c r="O244" i="5"/>
  <c r="O243" i="5"/>
  <c r="O242" i="5"/>
  <c r="O241" i="5"/>
  <c r="O240" i="5"/>
  <c r="O239" i="5"/>
  <c r="O238" i="5"/>
  <c r="O237" i="5"/>
  <c r="O236" i="5"/>
  <c r="O235" i="5"/>
  <c r="O234" i="5"/>
  <c r="O233" i="5"/>
  <c r="O232" i="5"/>
  <c r="O231" i="5"/>
  <c r="O230" i="5"/>
  <c r="O229" i="5"/>
  <c r="O228" i="5"/>
  <c r="O227" i="5"/>
  <c r="O226" i="5"/>
  <c r="O225" i="5"/>
  <c r="O224" i="5"/>
  <c r="O223" i="5"/>
  <c r="O222" i="5"/>
  <c r="O221" i="5"/>
  <c r="O220" i="5"/>
  <c r="O219" i="5"/>
  <c r="O218" i="5"/>
  <c r="O217" i="5"/>
  <c r="O216" i="5"/>
  <c r="O215" i="5"/>
  <c r="O214" i="5"/>
  <c r="O213" i="5"/>
  <c r="O212" i="5"/>
  <c r="O211" i="5"/>
  <c r="O210" i="5"/>
  <c r="O209" i="5"/>
  <c r="O208" i="5"/>
  <c r="O207" i="5"/>
  <c r="O206" i="5"/>
  <c r="O205" i="5"/>
  <c r="O204" i="5"/>
  <c r="O203" i="5"/>
  <c r="O202" i="5"/>
  <c r="O201" i="5"/>
  <c r="O200" i="5"/>
  <c r="O199" i="5"/>
  <c r="O198" i="5"/>
  <c r="O197" i="5"/>
  <c r="O196" i="5"/>
  <c r="O195" i="5"/>
  <c r="O194" i="5"/>
  <c r="O193" i="5"/>
  <c r="O192" i="5"/>
  <c r="O191" i="5"/>
  <c r="O190" i="5"/>
  <c r="O189" i="5"/>
  <c r="O188" i="5"/>
  <c r="O187" i="5"/>
  <c r="O186" i="5"/>
  <c r="O185" i="5"/>
  <c r="O184" i="5"/>
  <c r="O183" i="5"/>
  <c r="O182" i="5"/>
  <c r="O181" i="5"/>
  <c r="O180" i="5"/>
  <c r="O179" i="5"/>
  <c r="O178" i="5"/>
  <c r="O177" i="5"/>
  <c r="O176" i="5"/>
  <c r="O175" i="5"/>
  <c r="O174" i="5"/>
  <c r="O173" i="5"/>
  <c r="O172" i="5"/>
  <c r="O171" i="5"/>
  <c r="O170" i="5"/>
  <c r="O169" i="5"/>
  <c r="O168" i="5"/>
  <c r="O167" i="5"/>
  <c r="O166" i="5"/>
  <c r="O165" i="5"/>
  <c r="O164" i="5"/>
  <c r="O163" i="5"/>
  <c r="O162" i="5"/>
  <c r="O161" i="5"/>
  <c r="O160" i="5"/>
  <c r="O15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M309" i="5"/>
  <c r="M308" i="5"/>
  <c r="M307" i="5"/>
  <c r="M306" i="5"/>
  <c r="M305" i="5"/>
  <c r="M304" i="5"/>
  <c r="M303" i="5"/>
  <c r="M302" i="5"/>
  <c r="M301" i="5"/>
  <c r="M300" i="5"/>
  <c r="M299" i="5"/>
  <c r="M298" i="5"/>
  <c r="M297" i="5"/>
  <c r="M296" i="5"/>
  <c r="M295" i="5"/>
  <c r="M294" i="5"/>
  <c r="M293" i="5"/>
  <c r="M292" i="5"/>
  <c r="M291" i="5"/>
  <c r="M290" i="5"/>
  <c r="M289" i="5"/>
  <c r="M288" i="5"/>
  <c r="M287" i="5"/>
  <c r="M286" i="5"/>
  <c r="M285" i="5"/>
  <c r="M284" i="5"/>
  <c r="M283" i="5"/>
  <c r="M282" i="5"/>
  <c r="M281" i="5"/>
  <c r="M280" i="5"/>
  <c r="M279" i="5"/>
  <c r="M278" i="5"/>
  <c r="M277" i="5"/>
  <c r="M276" i="5"/>
  <c r="M275" i="5"/>
  <c r="M274" i="5"/>
  <c r="M273" i="5"/>
  <c r="M272" i="5"/>
  <c r="M271" i="5"/>
  <c r="M270" i="5"/>
  <c r="M269" i="5"/>
  <c r="M268" i="5"/>
  <c r="M267" i="5"/>
  <c r="M266" i="5"/>
  <c r="M265" i="5"/>
  <c r="M264" i="5"/>
  <c r="M263" i="5"/>
  <c r="M262" i="5"/>
  <c r="M261" i="5"/>
  <c r="M260" i="5"/>
  <c r="M259" i="5"/>
  <c r="M258" i="5"/>
  <c r="M257" i="5"/>
  <c r="M256" i="5"/>
  <c r="M255" i="5"/>
  <c r="M254" i="5"/>
  <c r="M253" i="5"/>
  <c r="M252" i="5"/>
  <c r="M251" i="5"/>
  <c r="M250" i="5"/>
  <c r="M249" i="5"/>
  <c r="M248" i="5"/>
  <c r="M247" i="5"/>
  <c r="M246" i="5"/>
  <c r="M245" i="5"/>
  <c r="M244" i="5"/>
  <c r="M243" i="5"/>
  <c r="M242" i="5"/>
  <c r="M241" i="5"/>
  <c r="M240" i="5"/>
  <c r="M239" i="5"/>
  <c r="M238" i="5"/>
  <c r="M237" i="5"/>
  <c r="M236" i="5"/>
  <c r="M235" i="5"/>
  <c r="M234" i="5"/>
  <c r="M233" i="5"/>
  <c r="M232" i="5"/>
  <c r="M231" i="5"/>
  <c r="M230" i="5"/>
  <c r="M229" i="5"/>
  <c r="M228" i="5"/>
  <c r="M227" i="5"/>
  <c r="M226" i="5"/>
  <c r="M225" i="5"/>
  <c r="M224" i="5"/>
  <c r="M223" i="5"/>
  <c r="M222" i="5"/>
  <c r="M221" i="5"/>
  <c r="M220" i="5"/>
  <c r="M219" i="5"/>
  <c r="M218" i="5"/>
  <c r="M217" i="5"/>
  <c r="M216" i="5"/>
  <c r="M215" i="5"/>
  <c r="M214" i="5"/>
  <c r="M213" i="5"/>
  <c r="M212" i="5"/>
  <c r="M211" i="5"/>
  <c r="M210" i="5"/>
  <c r="M209" i="5"/>
  <c r="M208" i="5"/>
  <c r="M207" i="5"/>
  <c r="M206" i="5"/>
  <c r="M205" i="5"/>
  <c r="M204" i="5"/>
  <c r="M203" i="5"/>
  <c r="M20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88" i="5"/>
  <c r="M187" i="5"/>
  <c r="M186" i="5"/>
  <c r="M185" i="5"/>
  <c r="M184" i="5"/>
  <c r="M183" i="5"/>
  <c r="M182" i="5"/>
  <c r="M181" i="5"/>
  <c r="M180" i="5"/>
  <c r="M179" i="5"/>
  <c r="M178" i="5"/>
  <c r="M177" i="5"/>
  <c r="M176" i="5"/>
  <c r="M175" i="5"/>
  <c r="M174" i="5"/>
  <c r="M173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60" i="5"/>
  <c r="M159" i="5"/>
  <c r="M158" i="5"/>
  <c r="M157" i="5"/>
  <c r="M156" i="5"/>
  <c r="M155" i="5"/>
  <c r="M154" i="5"/>
  <c r="M153" i="5"/>
  <c r="M152" i="5"/>
  <c r="M151" i="5"/>
  <c r="M150" i="5"/>
  <c r="M149" i="5"/>
  <c r="M148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6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K309" i="5"/>
  <c r="K308" i="5"/>
  <c r="K307" i="5"/>
  <c r="K306" i="5"/>
  <c r="K305" i="5"/>
  <c r="K304" i="5"/>
  <c r="K303" i="5"/>
  <c r="K302" i="5"/>
  <c r="K301" i="5"/>
  <c r="K300" i="5"/>
  <c r="K299" i="5"/>
  <c r="K298" i="5"/>
  <c r="K297" i="5"/>
  <c r="K296" i="5"/>
  <c r="K295" i="5"/>
  <c r="K294" i="5"/>
  <c r="K293" i="5"/>
  <c r="K292" i="5"/>
  <c r="K291" i="5"/>
  <c r="K290" i="5"/>
  <c r="K289" i="5"/>
  <c r="K288" i="5"/>
  <c r="K287" i="5"/>
  <c r="K286" i="5"/>
  <c r="K285" i="5"/>
  <c r="K284" i="5"/>
  <c r="K283" i="5"/>
  <c r="K282" i="5"/>
  <c r="K281" i="5"/>
  <c r="K280" i="5"/>
  <c r="K279" i="5"/>
  <c r="K278" i="5"/>
  <c r="K277" i="5"/>
  <c r="K276" i="5"/>
  <c r="K275" i="5"/>
  <c r="K274" i="5"/>
  <c r="K273" i="5"/>
  <c r="K272" i="5"/>
  <c r="K271" i="5"/>
  <c r="K270" i="5"/>
  <c r="K269" i="5"/>
  <c r="K268" i="5"/>
  <c r="K267" i="5"/>
  <c r="K266" i="5"/>
  <c r="K265" i="5"/>
  <c r="K264" i="5"/>
  <c r="K263" i="5"/>
  <c r="K262" i="5"/>
  <c r="K261" i="5"/>
  <c r="K260" i="5"/>
  <c r="K259" i="5"/>
  <c r="K258" i="5"/>
  <c r="K257" i="5"/>
  <c r="K256" i="5"/>
  <c r="K255" i="5"/>
  <c r="K254" i="5"/>
  <c r="K253" i="5"/>
  <c r="K252" i="5"/>
  <c r="K251" i="5"/>
  <c r="K250" i="5"/>
  <c r="K249" i="5"/>
  <c r="K248" i="5"/>
  <c r="K247" i="5"/>
  <c r="K246" i="5"/>
  <c r="K245" i="5"/>
  <c r="K244" i="5"/>
  <c r="K243" i="5"/>
  <c r="K242" i="5"/>
  <c r="K241" i="5"/>
  <c r="K240" i="5"/>
  <c r="K239" i="5"/>
  <c r="K238" i="5"/>
  <c r="K237" i="5"/>
  <c r="K236" i="5"/>
  <c r="K235" i="5"/>
  <c r="K234" i="5"/>
  <c r="K233" i="5"/>
  <c r="K232" i="5"/>
  <c r="K231" i="5"/>
  <c r="K230" i="5"/>
  <c r="K229" i="5"/>
  <c r="K228" i="5"/>
  <c r="K227" i="5"/>
  <c r="K226" i="5"/>
  <c r="K225" i="5"/>
  <c r="K224" i="5"/>
  <c r="K223" i="5"/>
  <c r="K222" i="5"/>
  <c r="K221" i="5"/>
  <c r="K220" i="5"/>
  <c r="K219" i="5"/>
  <c r="K218" i="5"/>
  <c r="K217" i="5"/>
  <c r="K216" i="5"/>
  <c r="K215" i="5"/>
  <c r="K214" i="5"/>
  <c r="K213" i="5"/>
  <c r="K212" i="5"/>
  <c r="K211" i="5"/>
  <c r="K210" i="5"/>
  <c r="K209" i="5"/>
  <c r="K208" i="5"/>
  <c r="K207" i="5"/>
  <c r="K206" i="5"/>
  <c r="K205" i="5"/>
  <c r="K204" i="5"/>
  <c r="K203" i="5"/>
  <c r="K202" i="5"/>
  <c r="K201" i="5"/>
  <c r="K200" i="5"/>
  <c r="K199" i="5"/>
  <c r="K198" i="5"/>
  <c r="K197" i="5"/>
  <c r="K196" i="5"/>
  <c r="K195" i="5"/>
  <c r="K194" i="5"/>
  <c r="K193" i="5"/>
  <c r="K192" i="5"/>
  <c r="K191" i="5"/>
  <c r="K190" i="5"/>
  <c r="K189" i="5"/>
  <c r="K188" i="5"/>
  <c r="K187" i="5"/>
  <c r="K186" i="5"/>
  <c r="K185" i="5"/>
  <c r="K184" i="5"/>
  <c r="K183" i="5"/>
  <c r="K182" i="5"/>
  <c r="K181" i="5"/>
  <c r="K180" i="5"/>
  <c r="K179" i="5"/>
  <c r="K178" i="5"/>
  <c r="K177" i="5"/>
  <c r="K176" i="5"/>
  <c r="K175" i="5"/>
  <c r="K174" i="5"/>
  <c r="K173" i="5"/>
  <c r="K172" i="5"/>
  <c r="K171" i="5"/>
  <c r="K170" i="5"/>
  <c r="K169" i="5"/>
  <c r="K168" i="5"/>
  <c r="K167" i="5"/>
  <c r="K166" i="5"/>
  <c r="K165" i="5"/>
  <c r="K164" i="5"/>
  <c r="K163" i="5"/>
  <c r="K162" i="5"/>
  <c r="K161" i="5"/>
  <c r="K160" i="5"/>
  <c r="K159" i="5"/>
  <c r="K158" i="5"/>
  <c r="K157" i="5"/>
  <c r="K156" i="5"/>
  <c r="K155" i="5"/>
  <c r="K154" i="5"/>
  <c r="K153" i="5"/>
  <c r="K152" i="5"/>
  <c r="K151" i="5"/>
  <c r="K150" i="5"/>
  <c r="K149" i="5"/>
  <c r="K148" i="5"/>
  <c r="K147" i="5"/>
  <c r="K146" i="5"/>
  <c r="K145" i="5"/>
  <c r="K144" i="5"/>
  <c r="K143" i="5"/>
  <c r="K142" i="5"/>
  <c r="K141" i="5"/>
  <c r="K140" i="5"/>
  <c r="K139" i="5"/>
  <c r="K138" i="5"/>
  <c r="K137" i="5"/>
  <c r="K136" i="5"/>
  <c r="K135" i="5"/>
  <c r="K134" i="5"/>
  <c r="K133" i="5"/>
  <c r="K132" i="5"/>
  <c r="K131" i="5"/>
  <c r="K130" i="5"/>
  <c r="K129" i="5"/>
  <c r="K128" i="5"/>
  <c r="K127" i="5"/>
  <c r="K126" i="5"/>
  <c r="K125" i="5"/>
  <c r="K124" i="5"/>
  <c r="K123" i="5"/>
  <c r="K122" i="5"/>
  <c r="K121" i="5"/>
  <c r="K120" i="5"/>
  <c r="K119" i="5"/>
  <c r="K118" i="5"/>
  <c r="K117" i="5"/>
  <c r="K116" i="5"/>
  <c r="K115" i="5"/>
  <c r="K114" i="5"/>
  <c r="K113" i="5"/>
  <c r="K112" i="5"/>
  <c r="K111" i="5"/>
  <c r="K110" i="5"/>
  <c r="K109" i="5"/>
  <c r="K108" i="5"/>
  <c r="K107" i="5"/>
  <c r="K106" i="5"/>
  <c r="K105" i="5"/>
  <c r="K104" i="5"/>
  <c r="K103" i="5"/>
  <c r="K102" i="5"/>
  <c r="K101" i="5"/>
  <c r="K100" i="5"/>
  <c r="K99" i="5"/>
  <c r="K98" i="5"/>
  <c r="K97" i="5"/>
  <c r="K96" i="5"/>
  <c r="K95" i="5"/>
  <c r="K94" i="5"/>
  <c r="K93" i="5"/>
  <c r="K92" i="5"/>
  <c r="K91" i="5"/>
  <c r="K90" i="5"/>
  <c r="K89" i="5"/>
  <c r="K88" i="5"/>
  <c r="K87" i="5"/>
  <c r="K86" i="5"/>
  <c r="K85" i="5"/>
  <c r="K84" i="5"/>
  <c r="K83" i="5"/>
  <c r="K82" i="5"/>
  <c r="K81" i="5"/>
  <c r="K80" i="5"/>
  <c r="K79" i="5"/>
  <c r="K78" i="5"/>
  <c r="K77" i="5"/>
  <c r="K76" i="5"/>
  <c r="K75" i="5"/>
  <c r="K74" i="5"/>
  <c r="K73" i="5"/>
  <c r="K72" i="5"/>
  <c r="K71" i="5"/>
  <c r="K70" i="5"/>
  <c r="K69" i="5"/>
  <c r="K68" i="5"/>
  <c r="K67" i="5"/>
  <c r="K66" i="5"/>
  <c r="K65" i="5"/>
  <c r="K64" i="5"/>
  <c r="K63" i="5"/>
  <c r="K62" i="5"/>
  <c r="K61" i="5"/>
  <c r="K60" i="5"/>
  <c r="K59" i="5"/>
  <c r="K58" i="5"/>
  <c r="K57" i="5"/>
  <c r="K56" i="5"/>
  <c r="K55" i="5"/>
  <c r="K54" i="5"/>
  <c r="K53" i="5"/>
  <c r="K52" i="5"/>
  <c r="K51" i="5"/>
  <c r="K50" i="5"/>
  <c r="K49" i="5"/>
  <c r="K48" i="5"/>
  <c r="K47" i="5"/>
  <c r="K46" i="5"/>
  <c r="K45" i="5"/>
  <c r="K44" i="5"/>
  <c r="K43" i="5"/>
  <c r="K42" i="5"/>
  <c r="K41" i="5"/>
  <c r="K40" i="5"/>
  <c r="K39" i="5"/>
  <c r="K38" i="5"/>
  <c r="K37" i="5"/>
  <c r="K36" i="5"/>
  <c r="K35" i="5"/>
  <c r="K34" i="5"/>
  <c r="K33" i="5"/>
  <c r="K32" i="5"/>
  <c r="K31" i="5"/>
  <c r="K30" i="5"/>
  <c r="K29" i="5"/>
  <c r="K28" i="5"/>
  <c r="K27" i="5"/>
  <c r="K26" i="5"/>
  <c r="K25" i="5"/>
  <c r="K24" i="5"/>
  <c r="K23" i="5"/>
  <c r="K22" i="5"/>
  <c r="K21" i="5"/>
  <c r="K20" i="5"/>
  <c r="K19" i="5"/>
  <c r="K18" i="5"/>
  <c r="K17" i="5"/>
  <c r="K16" i="5"/>
  <c r="K15" i="5"/>
  <c r="K14" i="5"/>
  <c r="K13" i="5"/>
  <c r="K12" i="5"/>
  <c r="K11" i="5"/>
  <c r="K10" i="5"/>
  <c r="G309" i="5"/>
  <c r="G308" i="5"/>
  <c r="G307" i="5"/>
  <c r="G306" i="5"/>
  <c r="G305" i="5"/>
  <c r="G304" i="5"/>
  <c r="G303" i="5"/>
  <c r="G302" i="5"/>
  <c r="G301" i="5"/>
  <c r="G300" i="5"/>
  <c r="G299" i="5"/>
  <c r="G298" i="5"/>
  <c r="G297" i="5"/>
  <c r="G296" i="5"/>
  <c r="G295" i="5"/>
  <c r="G294" i="5"/>
  <c r="G293" i="5"/>
  <c r="G292" i="5"/>
  <c r="G291" i="5"/>
  <c r="G290" i="5"/>
  <c r="G289" i="5"/>
  <c r="G288" i="5"/>
  <c r="G287" i="5"/>
  <c r="G286" i="5"/>
  <c r="G285" i="5"/>
  <c r="G284" i="5"/>
  <c r="G283" i="5"/>
  <c r="G282" i="5"/>
  <c r="G281" i="5"/>
  <c r="G280" i="5"/>
  <c r="G279" i="5"/>
  <c r="G278" i="5"/>
  <c r="G277" i="5"/>
  <c r="G276" i="5"/>
  <c r="G275" i="5"/>
  <c r="G274" i="5"/>
  <c r="G273" i="5"/>
  <c r="G272" i="5"/>
  <c r="G271" i="5"/>
  <c r="G270" i="5"/>
  <c r="G269" i="5"/>
  <c r="G268" i="5"/>
  <c r="G267" i="5"/>
  <c r="G266" i="5"/>
  <c r="G265" i="5"/>
  <c r="G264" i="5"/>
  <c r="G263" i="5"/>
  <c r="G262" i="5"/>
  <c r="G261" i="5"/>
  <c r="G260" i="5"/>
  <c r="G259" i="5"/>
  <c r="G258" i="5"/>
  <c r="G257" i="5"/>
  <c r="G256" i="5"/>
  <c r="G255" i="5"/>
  <c r="G254" i="5"/>
  <c r="G253" i="5"/>
  <c r="G252" i="5"/>
  <c r="G251" i="5"/>
  <c r="G250" i="5"/>
  <c r="G249" i="5"/>
  <c r="G248" i="5"/>
  <c r="G247" i="5"/>
  <c r="G246" i="5"/>
  <c r="G245" i="5"/>
  <c r="G244" i="5"/>
  <c r="G243" i="5"/>
  <c r="G242" i="5"/>
  <c r="G241" i="5"/>
  <c r="G240" i="5"/>
  <c r="G239" i="5"/>
  <c r="G238" i="5"/>
  <c r="G237" i="5"/>
  <c r="G236" i="5"/>
  <c r="G235" i="5"/>
  <c r="G234" i="5"/>
  <c r="G233" i="5"/>
  <c r="G232" i="5"/>
  <c r="G231" i="5"/>
  <c r="G230" i="5"/>
  <c r="G229" i="5"/>
  <c r="G228" i="5"/>
  <c r="G227" i="5"/>
  <c r="G226" i="5"/>
  <c r="G225" i="5"/>
  <c r="G224" i="5"/>
  <c r="G223" i="5"/>
  <c r="G222" i="5"/>
  <c r="G221" i="5"/>
  <c r="G220" i="5"/>
  <c r="G219" i="5"/>
  <c r="G218" i="5"/>
  <c r="G217" i="5"/>
  <c r="G216" i="5"/>
  <c r="G215" i="5"/>
  <c r="G214" i="5"/>
  <c r="G213" i="5"/>
  <c r="G212" i="5"/>
  <c r="G211" i="5"/>
  <c r="G210" i="5"/>
  <c r="G209" i="5"/>
  <c r="G208" i="5"/>
  <c r="G207" i="5"/>
  <c r="G206" i="5"/>
  <c r="G205" i="5"/>
  <c r="G204" i="5"/>
  <c r="G203" i="5"/>
  <c r="G202" i="5"/>
  <c r="G201" i="5"/>
  <c r="G200" i="5"/>
  <c r="G199" i="5"/>
  <c r="G198" i="5"/>
  <c r="G197" i="5"/>
  <c r="G196" i="5"/>
  <c r="G195" i="5"/>
  <c r="G194" i="5"/>
  <c r="G193" i="5"/>
  <c r="G192" i="5"/>
  <c r="G191" i="5"/>
  <c r="G190" i="5"/>
  <c r="G189" i="5"/>
  <c r="G188" i="5"/>
  <c r="G187" i="5"/>
  <c r="G186" i="5"/>
  <c r="G185" i="5"/>
  <c r="G184" i="5"/>
  <c r="G183" i="5"/>
  <c r="G182" i="5"/>
  <c r="G181" i="5"/>
  <c r="G180" i="5"/>
  <c r="G179" i="5"/>
  <c r="G178" i="5"/>
  <c r="G177" i="5"/>
  <c r="G176" i="5"/>
  <c r="G175" i="5"/>
  <c r="G174" i="5"/>
  <c r="G173" i="5"/>
  <c r="G172" i="5"/>
  <c r="G171" i="5"/>
  <c r="G170" i="5"/>
  <c r="G169" i="5"/>
  <c r="G168" i="5"/>
  <c r="G167" i="5"/>
  <c r="G166" i="5"/>
  <c r="G165" i="5"/>
  <c r="G164" i="5"/>
  <c r="G163" i="5"/>
  <c r="G162" i="5"/>
  <c r="G161" i="5"/>
  <c r="G160" i="5"/>
  <c r="G159" i="5"/>
  <c r="G158" i="5"/>
  <c r="G157" i="5"/>
  <c r="G156" i="5"/>
  <c r="G155" i="5"/>
  <c r="G154" i="5"/>
  <c r="G153" i="5"/>
  <c r="G152" i="5"/>
  <c r="G151" i="5"/>
  <c r="G150" i="5"/>
  <c r="G149" i="5"/>
  <c r="G148" i="5"/>
  <c r="G147" i="5"/>
  <c r="G146" i="5"/>
  <c r="G145" i="5"/>
  <c r="G144" i="5"/>
  <c r="G143" i="5"/>
  <c r="G142" i="5"/>
  <c r="G141" i="5"/>
  <c r="G140" i="5"/>
  <c r="G139" i="5"/>
  <c r="G138" i="5"/>
  <c r="G137" i="5"/>
  <c r="G136" i="5"/>
  <c r="G135" i="5"/>
  <c r="G134" i="5"/>
  <c r="G133" i="5"/>
  <c r="G132" i="5"/>
  <c r="G131" i="5"/>
  <c r="G130" i="5"/>
  <c r="G129" i="5"/>
  <c r="G128" i="5"/>
  <c r="G127" i="5"/>
  <c r="G126" i="5"/>
  <c r="G125" i="5"/>
  <c r="G124" i="5"/>
  <c r="G123" i="5"/>
  <c r="G122" i="5"/>
  <c r="G121" i="5"/>
  <c r="G120" i="5"/>
  <c r="G119" i="5"/>
  <c r="G118" i="5"/>
  <c r="G117" i="5"/>
  <c r="G116" i="5"/>
  <c r="G115" i="5"/>
  <c r="G114" i="5"/>
  <c r="G113" i="5"/>
  <c r="G112" i="5"/>
  <c r="G111" i="5"/>
  <c r="G110" i="5"/>
  <c r="G109" i="5"/>
  <c r="G108" i="5"/>
  <c r="G107" i="5"/>
  <c r="G106" i="5"/>
  <c r="G105" i="5"/>
  <c r="G104" i="5"/>
  <c r="G103" i="5"/>
  <c r="G102" i="5"/>
  <c r="G101" i="5"/>
  <c r="G100" i="5"/>
  <c r="G99" i="5"/>
  <c r="G98" i="5"/>
  <c r="G97" i="5"/>
  <c r="G96" i="5"/>
  <c r="G95" i="5"/>
  <c r="G94" i="5"/>
  <c r="G93" i="5"/>
  <c r="G92" i="5"/>
  <c r="G91" i="5"/>
  <c r="G90" i="5"/>
  <c r="G89" i="5"/>
  <c r="G88" i="5"/>
  <c r="G87" i="5"/>
  <c r="G86" i="5"/>
  <c r="G85" i="5"/>
  <c r="G84" i="5"/>
  <c r="G83" i="5"/>
  <c r="G82" i="5"/>
  <c r="G81" i="5"/>
  <c r="G80" i="5"/>
  <c r="G79" i="5"/>
  <c r="G78" i="5"/>
  <c r="G77" i="5"/>
  <c r="G76" i="5"/>
  <c r="G75" i="5"/>
  <c r="G74" i="5"/>
  <c r="G73" i="5"/>
  <c r="G72" i="5"/>
  <c r="G71" i="5"/>
  <c r="G70" i="5"/>
  <c r="G69" i="5"/>
  <c r="G68" i="5"/>
  <c r="G67" i="5"/>
  <c r="G66" i="5"/>
  <c r="G65" i="5"/>
  <c r="G64" i="5"/>
  <c r="G63" i="5"/>
  <c r="G62" i="5"/>
  <c r="G61" i="5"/>
  <c r="G60" i="5"/>
  <c r="G59" i="5"/>
  <c r="G58" i="5"/>
  <c r="G57" i="5"/>
  <c r="G56" i="5"/>
  <c r="G55" i="5"/>
  <c r="G54" i="5"/>
  <c r="G53" i="5"/>
  <c r="G52" i="5"/>
  <c r="G51" i="5"/>
  <c r="G50" i="5"/>
  <c r="G49" i="5"/>
  <c r="G48" i="5"/>
  <c r="G47" i="5"/>
  <c r="G46" i="5"/>
  <c r="G45" i="5"/>
  <c r="G44" i="5"/>
  <c r="G43" i="5"/>
  <c r="G42" i="5"/>
  <c r="G41" i="5"/>
  <c r="G40" i="5"/>
  <c r="G39" i="5"/>
  <c r="G38" i="5"/>
  <c r="G37" i="5"/>
  <c r="G36" i="5"/>
  <c r="G35" i="5"/>
  <c r="G34" i="5"/>
  <c r="G33" i="5"/>
  <c r="G32" i="5"/>
  <c r="G31" i="5"/>
  <c r="G30" i="5"/>
  <c r="G29" i="5"/>
  <c r="G28" i="5"/>
  <c r="G27" i="5"/>
  <c r="G26" i="5"/>
  <c r="G25" i="5"/>
  <c r="G24" i="5"/>
  <c r="G23" i="5"/>
  <c r="G22" i="5"/>
  <c r="G21" i="5"/>
  <c r="G20" i="5"/>
  <c r="G19" i="5"/>
  <c r="G18" i="5"/>
  <c r="G17" i="5"/>
  <c r="G16" i="5"/>
  <c r="G15" i="5"/>
  <c r="G14" i="5"/>
  <c r="G13" i="5"/>
  <c r="G12" i="5"/>
  <c r="G11" i="5"/>
  <c r="G10" i="5"/>
  <c r="CF9" i="5"/>
  <c r="X27" i="4" s="1"/>
  <c r="BZ9" i="5"/>
  <c r="W27" i="4" s="1"/>
  <c r="BT9" i="5"/>
  <c r="V27" i="4" s="1"/>
  <c r="BN9" i="5"/>
  <c r="U27" i="4" s="1"/>
  <c r="BH9" i="5"/>
  <c r="T27" i="4" s="1"/>
  <c r="BB9" i="5"/>
  <c r="AV9" i="5"/>
  <c r="R27" i="4" s="1"/>
  <c r="AP9" i="5"/>
  <c r="Q27" i="4" s="1"/>
  <c r="AJ9" i="5"/>
  <c r="P27" i="4" s="1"/>
  <c r="AD9" i="5"/>
  <c r="O27" i="4" s="1"/>
  <c r="X9" i="5"/>
  <c r="N27" i="4" s="1"/>
  <c r="E309" i="5"/>
  <c r="E308" i="5"/>
  <c r="E307" i="5"/>
  <c r="E306" i="5"/>
  <c r="E305" i="5"/>
  <c r="E304" i="5"/>
  <c r="E303" i="5"/>
  <c r="E302" i="5"/>
  <c r="E301" i="5"/>
  <c r="E300" i="5"/>
  <c r="E299" i="5"/>
  <c r="E298" i="5"/>
  <c r="E297" i="5"/>
  <c r="E296" i="5"/>
  <c r="E295" i="5"/>
  <c r="E294" i="5"/>
  <c r="E293" i="5"/>
  <c r="E292" i="5"/>
  <c r="E291" i="5"/>
  <c r="E290" i="5"/>
  <c r="E289" i="5"/>
  <c r="E288" i="5"/>
  <c r="E287" i="5"/>
  <c r="E286" i="5"/>
  <c r="E285" i="5"/>
  <c r="E284" i="5"/>
  <c r="E283" i="5"/>
  <c r="E282" i="5"/>
  <c r="E281" i="5"/>
  <c r="E280" i="5"/>
  <c r="E279" i="5"/>
  <c r="E278" i="5"/>
  <c r="E277" i="5"/>
  <c r="E276" i="5"/>
  <c r="E275" i="5"/>
  <c r="E274" i="5"/>
  <c r="E273" i="5"/>
  <c r="E272" i="5"/>
  <c r="E271" i="5"/>
  <c r="E270" i="5"/>
  <c r="E269" i="5"/>
  <c r="E268" i="5"/>
  <c r="E267" i="5"/>
  <c r="E266" i="5"/>
  <c r="E265" i="5"/>
  <c r="E264" i="5"/>
  <c r="E263" i="5"/>
  <c r="E262" i="5"/>
  <c r="E261" i="5"/>
  <c r="E260" i="5"/>
  <c r="E259" i="5"/>
  <c r="E258" i="5"/>
  <c r="E257" i="5"/>
  <c r="E256" i="5"/>
  <c r="E255" i="5"/>
  <c r="E254" i="5"/>
  <c r="E253" i="5"/>
  <c r="E252" i="5"/>
  <c r="E251" i="5"/>
  <c r="E250" i="5"/>
  <c r="E249" i="5"/>
  <c r="E248" i="5"/>
  <c r="E247" i="5"/>
  <c r="E246" i="5"/>
  <c r="E245" i="5"/>
  <c r="E244" i="5"/>
  <c r="E243" i="5"/>
  <c r="E242" i="5"/>
  <c r="E241" i="5"/>
  <c r="E240" i="5"/>
  <c r="E239" i="5"/>
  <c r="E238" i="5"/>
  <c r="E237" i="5"/>
  <c r="E236" i="5"/>
  <c r="E235" i="5"/>
  <c r="E234" i="5"/>
  <c r="E233" i="5"/>
  <c r="E232" i="5"/>
  <c r="E231" i="5"/>
  <c r="E230" i="5"/>
  <c r="E229" i="5"/>
  <c r="E228" i="5"/>
  <c r="E227" i="5"/>
  <c r="E226" i="5"/>
  <c r="E225" i="5"/>
  <c r="E224" i="5"/>
  <c r="E223" i="5"/>
  <c r="E222" i="5"/>
  <c r="E221" i="5"/>
  <c r="E220" i="5"/>
  <c r="E219" i="5"/>
  <c r="E218" i="5"/>
  <c r="E217" i="5"/>
  <c r="E216" i="5"/>
  <c r="E215" i="5"/>
  <c r="E214" i="5"/>
  <c r="E213" i="5"/>
  <c r="E212" i="5"/>
  <c r="E211" i="5"/>
  <c r="E210" i="5"/>
  <c r="E209" i="5"/>
  <c r="E208" i="5"/>
  <c r="E207" i="5"/>
  <c r="E206" i="5"/>
  <c r="E205" i="5"/>
  <c r="E204" i="5"/>
  <c r="E203" i="5"/>
  <c r="E202" i="5"/>
  <c r="E201" i="5"/>
  <c r="E200" i="5"/>
  <c r="E199" i="5"/>
  <c r="E198" i="5"/>
  <c r="E197" i="5"/>
  <c r="E196" i="5"/>
  <c r="E195" i="5"/>
  <c r="E194" i="5"/>
  <c r="E193" i="5"/>
  <c r="E192" i="5"/>
  <c r="E191" i="5"/>
  <c r="E190" i="5"/>
  <c r="E189" i="5"/>
  <c r="E188" i="5"/>
  <c r="E187" i="5"/>
  <c r="E186" i="5"/>
  <c r="E185" i="5"/>
  <c r="E184" i="5"/>
  <c r="E183" i="5"/>
  <c r="E182" i="5"/>
  <c r="E181" i="5"/>
  <c r="E180" i="5"/>
  <c r="E179" i="5"/>
  <c r="E178" i="5"/>
  <c r="E177" i="5"/>
  <c r="E176" i="5"/>
  <c r="E175" i="5"/>
  <c r="E174" i="5"/>
  <c r="E173" i="5"/>
  <c r="E172" i="5"/>
  <c r="E171" i="5"/>
  <c r="E170" i="5"/>
  <c r="E169" i="5"/>
  <c r="E168" i="5"/>
  <c r="E167" i="5"/>
  <c r="E166" i="5"/>
  <c r="E165" i="5"/>
  <c r="E164" i="5"/>
  <c r="E163" i="5"/>
  <c r="E162" i="5"/>
  <c r="E161" i="5"/>
  <c r="E160" i="5"/>
  <c r="E159" i="5"/>
  <c r="E158" i="5"/>
  <c r="E157" i="5"/>
  <c r="E156" i="5"/>
  <c r="E155" i="5"/>
  <c r="E154" i="5"/>
  <c r="E153" i="5"/>
  <c r="E152" i="5"/>
  <c r="E151" i="5"/>
  <c r="E150" i="5"/>
  <c r="E149" i="5"/>
  <c r="E148" i="5"/>
  <c r="E147" i="5"/>
  <c r="E146" i="5"/>
  <c r="E145" i="5"/>
  <c r="E144" i="5"/>
  <c r="E143" i="5"/>
  <c r="E142" i="5"/>
  <c r="E141" i="5"/>
  <c r="E140" i="5"/>
  <c r="E139" i="5"/>
  <c r="E138" i="5"/>
  <c r="E137" i="5"/>
  <c r="E136" i="5"/>
  <c r="E135" i="5"/>
  <c r="E134" i="5"/>
  <c r="E133" i="5"/>
  <c r="E132" i="5"/>
  <c r="E131" i="5"/>
  <c r="E130" i="5"/>
  <c r="E129" i="5"/>
  <c r="E128" i="5"/>
  <c r="E127" i="5"/>
  <c r="E126" i="5"/>
  <c r="E125" i="5"/>
  <c r="E124" i="5"/>
  <c r="E123" i="5"/>
  <c r="E122" i="5"/>
  <c r="E121" i="5"/>
  <c r="E120" i="5"/>
  <c r="E119" i="5"/>
  <c r="E118" i="5"/>
  <c r="E117" i="5"/>
  <c r="E116" i="5"/>
  <c r="E115" i="5"/>
  <c r="E114" i="5"/>
  <c r="E113" i="5"/>
  <c r="E112" i="5"/>
  <c r="E111" i="5"/>
  <c r="E110" i="5"/>
  <c r="E109" i="5"/>
  <c r="E108" i="5"/>
  <c r="E107" i="5"/>
  <c r="E106" i="5"/>
  <c r="E105" i="5"/>
  <c r="E104" i="5"/>
  <c r="E103" i="5"/>
  <c r="E102" i="5"/>
  <c r="E101" i="5"/>
  <c r="E100" i="5"/>
  <c r="E99" i="5"/>
  <c r="E98" i="5"/>
  <c r="E97" i="5"/>
  <c r="E96" i="5"/>
  <c r="E95" i="5"/>
  <c r="E94" i="5"/>
  <c r="E93" i="5"/>
  <c r="E92" i="5"/>
  <c r="E91" i="5"/>
  <c r="E90" i="5"/>
  <c r="E89" i="5"/>
  <c r="E88" i="5"/>
  <c r="E87" i="5"/>
  <c r="E86" i="5"/>
  <c r="E85" i="5"/>
  <c r="E84" i="5"/>
  <c r="E83" i="5"/>
  <c r="E82" i="5"/>
  <c r="E81" i="5"/>
  <c r="E80" i="5"/>
  <c r="E79" i="5"/>
  <c r="E78" i="5"/>
  <c r="E77" i="5"/>
  <c r="E76" i="5"/>
  <c r="E75" i="5"/>
  <c r="E74" i="5"/>
  <c r="E73" i="5"/>
  <c r="E72" i="5"/>
  <c r="E71" i="5"/>
  <c r="E70" i="5"/>
  <c r="E69" i="5"/>
  <c r="E68" i="5"/>
  <c r="E67" i="5"/>
  <c r="E66" i="5"/>
  <c r="E65" i="5"/>
  <c r="E64" i="5"/>
  <c r="E63" i="5"/>
  <c r="E62" i="5"/>
  <c r="E61" i="5"/>
  <c r="E60" i="5"/>
  <c r="E59" i="5"/>
  <c r="E58" i="5"/>
  <c r="E57" i="5"/>
  <c r="E56" i="5"/>
  <c r="E55" i="5"/>
  <c r="E54" i="5"/>
  <c r="E53" i="5"/>
  <c r="E52" i="5"/>
  <c r="E51" i="5"/>
  <c r="E50" i="5"/>
  <c r="E49" i="5"/>
  <c r="E48" i="5"/>
  <c r="E47" i="5"/>
  <c r="E46" i="5"/>
  <c r="E45" i="5"/>
  <c r="E44" i="5"/>
  <c r="E43" i="5"/>
  <c r="E42" i="5"/>
  <c r="E41" i="5"/>
  <c r="E40" i="5"/>
  <c r="E39" i="5"/>
  <c r="E38" i="5"/>
  <c r="E37" i="5"/>
  <c r="E36" i="5"/>
  <c r="E35" i="5"/>
  <c r="E34" i="5"/>
  <c r="E33" i="5"/>
  <c r="E32" i="5"/>
  <c r="E31" i="5"/>
  <c r="E30" i="5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N309" i="5"/>
  <c r="N308" i="5"/>
  <c r="N307" i="5"/>
  <c r="N306" i="5"/>
  <c r="N305" i="5"/>
  <c r="N304" i="5"/>
  <c r="N303" i="5"/>
  <c r="N302" i="5"/>
  <c r="N301" i="5"/>
  <c r="N300" i="5"/>
  <c r="N299" i="5"/>
  <c r="N298" i="5"/>
  <c r="N297" i="5"/>
  <c r="N296" i="5"/>
  <c r="N295" i="5"/>
  <c r="N294" i="5"/>
  <c r="N293" i="5"/>
  <c r="N292" i="5"/>
  <c r="N291" i="5"/>
  <c r="N290" i="5"/>
  <c r="N289" i="5"/>
  <c r="N288" i="5"/>
  <c r="N287" i="5"/>
  <c r="N286" i="5"/>
  <c r="N285" i="5"/>
  <c r="N284" i="5"/>
  <c r="N283" i="5"/>
  <c r="N282" i="5"/>
  <c r="N281" i="5"/>
  <c r="N280" i="5"/>
  <c r="N279" i="5"/>
  <c r="N278" i="5"/>
  <c r="N277" i="5"/>
  <c r="N276" i="5"/>
  <c r="N275" i="5"/>
  <c r="N274" i="5"/>
  <c r="N273" i="5"/>
  <c r="N272" i="5"/>
  <c r="N271" i="5"/>
  <c r="N270" i="5"/>
  <c r="N269" i="5"/>
  <c r="N268" i="5"/>
  <c r="N267" i="5"/>
  <c r="N266" i="5"/>
  <c r="N265" i="5"/>
  <c r="N264" i="5"/>
  <c r="N263" i="5"/>
  <c r="N262" i="5"/>
  <c r="N261" i="5"/>
  <c r="N260" i="5"/>
  <c r="N259" i="5"/>
  <c r="N258" i="5"/>
  <c r="N257" i="5"/>
  <c r="N256" i="5"/>
  <c r="N255" i="5"/>
  <c r="N254" i="5"/>
  <c r="N253" i="5"/>
  <c r="N252" i="5"/>
  <c r="N251" i="5"/>
  <c r="N250" i="5"/>
  <c r="N249" i="5"/>
  <c r="N248" i="5"/>
  <c r="N247" i="5"/>
  <c r="N246" i="5"/>
  <c r="N245" i="5"/>
  <c r="N244" i="5"/>
  <c r="N243" i="5"/>
  <c r="N242" i="5"/>
  <c r="N241" i="5"/>
  <c r="N240" i="5"/>
  <c r="N239" i="5"/>
  <c r="N238" i="5"/>
  <c r="N237" i="5"/>
  <c r="N236" i="5"/>
  <c r="N235" i="5"/>
  <c r="N234" i="5"/>
  <c r="N233" i="5"/>
  <c r="N232" i="5"/>
  <c r="N231" i="5"/>
  <c r="N230" i="5"/>
  <c r="N229" i="5"/>
  <c r="N228" i="5"/>
  <c r="N227" i="5"/>
  <c r="N226" i="5"/>
  <c r="N225" i="5"/>
  <c r="N224" i="5"/>
  <c r="N223" i="5"/>
  <c r="N222" i="5"/>
  <c r="N221" i="5"/>
  <c r="N220" i="5"/>
  <c r="N219" i="5"/>
  <c r="N218" i="5"/>
  <c r="N217" i="5"/>
  <c r="N216" i="5"/>
  <c r="N215" i="5"/>
  <c r="N214" i="5"/>
  <c r="N213" i="5"/>
  <c r="N212" i="5"/>
  <c r="N211" i="5"/>
  <c r="N210" i="5"/>
  <c r="N209" i="5"/>
  <c r="N208" i="5"/>
  <c r="N207" i="5"/>
  <c r="N206" i="5"/>
  <c r="N205" i="5"/>
  <c r="N204" i="5"/>
  <c r="N203" i="5"/>
  <c r="N202" i="5"/>
  <c r="N201" i="5"/>
  <c r="N200" i="5"/>
  <c r="N199" i="5"/>
  <c r="N198" i="5"/>
  <c r="N197" i="5"/>
  <c r="N196" i="5"/>
  <c r="N195" i="5"/>
  <c r="N194" i="5"/>
  <c r="N193" i="5"/>
  <c r="N192" i="5"/>
  <c r="N191" i="5"/>
  <c r="N190" i="5"/>
  <c r="N189" i="5"/>
  <c r="N188" i="5"/>
  <c r="N187" i="5"/>
  <c r="N186" i="5"/>
  <c r="N185" i="5"/>
  <c r="N184" i="5"/>
  <c r="N183" i="5"/>
  <c r="N182" i="5"/>
  <c r="N181" i="5"/>
  <c r="N180" i="5"/>
  <c r="N179" i="5"/>
  <c r="N178" i="5"/>
  <c r="N177" i="5"/>
  <c r="N176" i="5"/>
  <c r="N175" i="5"/>
  <c r="N174" i="5"/>
  <c r="N173" i="5"/>
  <c r="N172" i="5"/>
  <c r="N171" i="5"/>
  <c r="N170" i="5"/>
  <c r="N169" i="5"/>
  <c r="N168" i="5"/>
  <c r="N167" i="5"/>
  <c r="N166" i="5"/>
  <c r="N165" i="5"/>
  <c r="N164" i="5"/>
  <c r="N163" i="5"/>
  <c r="N162" i="5"/>
  <c r="N161" i="5"/>
  <c r="N160" i="5"/>
  <c r="N159" i="5"/>
  <c r="N158" i="5"/>
  <c r="N157" i="5"/>
  <c r="N156" i="5"/>
  <c r="N155" i="5"/>
  <c r="N154" i="5"/>
  <c r="N153" i="5"/>
  <c r="N152" i="5"/>
  <c r="N151" i="5"/>
  <c r="N150" i="5"/>
  <c r="N149" i="5"/>
  <c r="N148" i="5"/>
  <c r="N147" i="5"/>
  <c r="N146" i="5"/>
  <c r="N145" i="5"/>
  <c r="N144" i="5"/>
  <c r="N143" i="5"/>
  <c r="N142" i="5"/>
  <c r="N141" i="5"/>
  <c r="N140" i="5"/>
  <c r="N139" i="5"/>
  <c r="N138" i="5"/>
  <c r="N137" i="5"/>
  <c r="N136" i="5"/>
  <c r="N135" i="5"/>
  <c r="N134" i="5"/>
  <c r="N133" i="5"/>
  <c r="N132" i="5"/>
  <c r="N131" i="5"/>
  <c r="N130" i="5"/>
  <c r="N129" i="5"/>
  <c r="N128" i="5"/>
  <c r="N127" i="5"/>
  <c r="N126" i="5"/>
  <c r="N125" i="5"/>
  <c r="N124" i="5"/>
  <c r="N123" i="5"/>
  <c r="N122" i="5"/>
  <c r="N121" i="5"/>
  <c r="N120" i="5"/>
  <c r="N119" i="5"/>
  <c r="N118" i="5"/>
  <c r="N117" i="5"/>
  <c r="N116" i="5"/>
  <c r="N115" i="5"/>
  <c r="N114" i="5"/>
  <c r="N113" i="5"/>
  <c r="N112" i="5"/>
  <c r="N111" i="5"/>
  <c r="N110" i="5"/>
  <c r="N109" i="5"/>
  <c r="N108" i="5"/>
  <c r="N107" i="5"/>
  <c r="N106" i="5"/>
  <c r="N105" i="5"/>
  <c r="N104" i="5"/>
  <c r="N103" i="5"/>
  <c r="N102" i="5"/>
  <c r="N101" i="5"/>
  <c r="N100" i="5"/>
  <c r="N99" i="5"/>
  <c r="N98" i="5"/>
  <c r="N97" i="5"/>
  <c r="N96" i="5"/>
  <c r="N95" i="5"/>
  <c r="N94" i="5"/>
  <c r="N93" i="5"/>
  <c r="N92" i="5"/>
  <c r="N91" i="5"/>
  <c r="N90" i="5"/>
  <c r="N89" i="5"/>
  <c r="N88" i="5"/>
  <c r="N87" i="5"/>
  <c r="N86" i="5"/>
  <c r="N85" i="5"/>
  <c r="N84" i="5"/>
  <c r="N83" i="5"/>
  <c r="N82" i="5"/>
  <c r="N81" i="5"/>
  <c r="N80" i="5"/>
  <c r="N79" i="5"/>
  <c r="N78" i="5"/>
  <c r="N77" i="5"/>
  <c r="N76" i="5"/>
  <c r="N75" i="5"/>
  <c r="N74" i="5"/>
  <c r="N73" i="5"/>
  <c r="N72" i="5"/>
  <c r="N71" i="5"/>
  <c r="N70" i="5"/>
  <c r="N69" i="5"/>
  <c r="N68" i="5"/>
  <c r="N67" i="5"/>
  <c r="N66" i="5"/>
  <c r="N65" i="5"/>
  <c r="N64" i="5"/>
  <c r="N63" i="5"/>
  <c r="N62" i="5"/>
  <c r="N61" i="5"/>
  <c r="N60" i="5"/>
  <c r="N59" i="5"/>
  <c r="N58" i="5"/>
  <c r="N57" i="5"/>
  <c r="N56" i="5"/>
  <c r="N55" i="5"/>
  <c r="N54" i="5"/>
  <c r="N53" i="5"/>
  <c r="N52" i="5"/>
  <c r="N51" i="5"/>
  <c r="N50" i="5"/>
  <c r="N49" i="5"/>
  <c r="N48" i="5"/>
  <c r="N47" i="5"/>
  <c r="N46" i="5"/>
  <c r="N45" i="5"/>
  <c r="N44" i="5"/>
  <c r="N43" i="5"/>
  <c r="N42" i="5"/>
  <c r="N41" i="5"/>
  <c r="N40" i="5"/>
  <c r="N39" i="5"/>
  <c r="N38" i="5"/>
  <c r="N37" i="5"/>
  <c r="N36" i="5"/>
  <c r="N35" i="5"/>
  <c r="N34" i="5"/>
  <c r="N33" i="5"/>
  <c r="N32" i="5"/>
  <c r="N31" i="5"/>
  <c r="N30" i="5"/>
  <c r="N29" i="5"/>
  <c r="N28" i="5"/>
  <c r="N27" i="5"/>
  <c r="N26" i="5"/>
  <c r="N25" i="5"/>
  <c r="N24" i="5"/>
  <c r="N23" i="5"/>
  <c r="N22" i="5"/>
  <c r="N21" i="5"/>
  <c r="N20" i="5"/>
  <c r="N19" i="5"/>
  <c r="N18" i="5"/>
  <c r="N17" i="5"/>
  <c r="N16" i="5"/>
  <c r="N15" i="5"/>
  <c r="N14" i="5"/>
  <c r="N13" i="5"/>
  <c r="N12" i="5"/>
  <c r="N11" i="5"/>
  <c r="N10" i="5"/>
  <c r="L309" i="5"/>
  <c r="L308" i="5"/>
  <c r="L307" i="5"/>
  <c r="L306" i="5"/>
  <c r="L305" i="5"/>
  <c r="L304" i="5"/>
  <c r="L303" i="5"/>
  <c r="L302" i="5"/>
  <c r="L301" i="5"/>
  <c r="L300" i="5"/>
  <c r="L299" i="5"/>
  <c r="L298" i="5"/>
  <c r="L297" i="5"/>
  <c r="L296" i="5"/>
  <c r="L295" i="5"/>
  <c r="L294" i="5"/>
  <c r="L293" i="5"/>
  <c r="L292" i="5"/>
  <c r="L291" i="5"/>
  <c r="L290" i="5"/>
  <c r="L289" i="5"/>
  <c r="L288" i="5"/>
  <c r="L287" i="5"/>
  <c r="L286" i="5"/>
  <c r="L285" i="5"/>
  <c r="L284" i="5"/>
  <c r="L283" i="5"/>
  <c r="L282" i="5"/>
  <c r="L281" i="5"/>
  <c r="L280" i="5"/>
  <c r="L279" i="5"/>
  <c r="L278" i="5"/>
  <c r="L277" i="5"/>
  <c r="L276" i="5"/>
  <c r="L275" i="5"/>
  <c r="L274" i="5"/>
  <c r="L273" i="5"/>
  <c r="L272" i="5"/>
  <c r="L271" i="5"/>
  <c r="L270" i="5"/>
  <c r="L269" i="5"/>
  <c r="L268" i="5"/>
  <c r="L267" i="5"/>
  <c r="L266" i="5"/>
  <c r="L265" i="5"/>
  <c r="L264" i="5"/>
  <c r="L263" i="5"/>
  <c r="L262" i="5"/>
  <c r="L261" i="5"/>
  <c r="L260" i="5"/>
  <c r="L259" i="5"/>
  <c r="L258" i="5"/>
  <c r="L257" i="5"/>
  <c r="L256" i="5"/>
  <c r="L255" i="5"/>
  <c r="L254" i="5"/>
  <c r="L253" i="5"/>
  <c r="L252" i="5"/>
  <c r="L251" i="5"/>
  <c r="L250" i="5"/>
  <c r="L249" i="5"/>
  <c r="L248" i="5"/>
  <c r="L247" i="5"/>
  <c r="L246" i="5"/>
  <c r="L245" i="5"/>
  <c r="L244" i="5"/>
  <c r="L243" i="5"/>
  <c r="L242" i="5"/>
  <c r="L241" i="5"/>
  <c r="L240" i="5"/>
  <c r="L239" i="5"/>
  <c r="L238" i="5"/>
  <c r="L237" i="5"/>
  <c r="L236" i="5"/>
  <c r="L235" i="5"/>
  <c r="L234" i="5"/>
  <c r="L233" i="5"/>
  <c r="L232" i="5"/>
  <c r="L231" i="5"/>
  <c r="L230" i="5"/>
  <c r="L229" i="5"/>
  <c r="L228" i="5"/>
  <c r="L227" i="5"/>
  <c r="L226" i="5"/>
  <c r="L225" i="5"/>
  <c r="L224" i="5"/>
  <c r="L223" i="5"/>
  <c r="L222" i="5"/>
  <c r="L221" i="5"/>
  <c r="L220" i="5"/>
  <c r="L219" i="5"/>
  <c r="L218" i="5"/>
  <c r="L217" i="5"/>
  <c r="L216" i="5"/>
  <c r="L215" i="5"/>
  <c r="L214" i="5"/>
  <c r="L213" i="5"/>
  <c r="L212" i="5"/>
  <c r="L211" i="5"/>
  <c r="L210" i="5"/>
  <c r="L209" i="5"/>
  <c r="L208" i="5"/>
  <c r="L207" i="5"/>
  <c r="L206" i="5"/>
  <c r="L205" i="5"/>
  <c r="L204" i="5"/>
  <c r="L203" i="5"/>
  <c r="L202" i="5"/>
  <c r="L201" i="5"/>
  <c r="L200" i="5"/>
  <c r="L199" i="5"/>
  <c r="L198" i="5"/>
  <c r="L197" i="5"/>
  <c r="L196" i="5"/>
  <c r="L195" i="5"/>
  <c r="L194" i="5"/>
  <c r="L193" i="5"/>
  <c r="L192" i="5"/>
  <c r="L191" i="5"/>
  <c r="L190" i="5"/>
  <c r="L189" i="5"/>
  <c r="L188" i="5"/>
  <c r="L187" i="5"/>
  <c r="L186" i="5"/>
  <c r="L185" i="5"/>
  <c r="L184" i="5"/>
  <c r="L183" i="5"/>
  <c r="L182" i="5"/>
  <c r="L181" i="5"/>
  <c r="L180" i="5"/>
  <c r="L179" i="5"/>
  <c r="L178" i="5"/>
  <c r="L177" i="5"/>
  <c r="L176" i="5"/>
  <c r="L175" i="5"/>
  <c r="L174" i="5"/>
  <c r="L173" i="5"/>
  <c r="L172" i="5"/>
  <c r="L171" i="5"/>
  <c r="L170" i="5"/>
  <c r="L169" i="5"/>
  <c r="L168" i="5"/>
  <c r="L167" i="5"/>
  <c r="L166" i="5"/>
  <c r="L165" i="5"/>
  <c r="L164" i="5"/>
  <c r="L163" i="5"/>
  <c r="L162" i="5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3" i="5"/>
  <c r="L122" i="5"/>
  <c r="L121" i="5"/>
  <c r="L120" i="5"/>
  <c r="L119" i="5"/>
  <c r="L118" i="5"/>
  <c r="L117" i="5"/>
  <c r="L116" i="5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8" i="5"/>
  <c r="L97" i="5"/>
  <c r="L96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2" i="5"/>
  <c r="L81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4" i="5"/>
  <c r="L63" i="5"/>
  <c r="L62" i="5"/>
  <c r="L61" i="5"/>
  <c r="L60" i="5"/>
  <c r="L59" i="5"/>
  <c r="L58" i="5"/>
  <c r="L57" i="5"/>
  <c r="L56" i="5"/>
  <c r="L55" i="5"/>
  <c r="L54" i="5"/>
  <c r="L53" i="5"/>
  <c r="L52" i="5"/>
  <c r="L51" i="5"/>
  <c r="L50" i="5"/>
  <c r="L49" i="5"/>
  <c r="L48" i="5"/>
  <c r="L47" i="5"/>
  <c r="L46" i="5"/>
  <c r="L45" i="5"/>
  <c r="L44" i="5"/>
  <c r="L43" i="5"/>
  <c r="L42" i="5"/>
  <c r="L41" i="5"/>
  <c r="L40" i="5"/>
  <c r="L39" i="5"/>
  <c r="L38" i="5"/>
  <c r="L37" i="5"/>
  <c r="L36" i="5"/>
  <c r="L35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S310" i="2"/>
  <c r="S309" i="2"/>
  <c r="S308" i="2"/>
  <c r="S307" i="2"/>
  <c r="S306" i="2"/>
  <c r="S305" i="2"/>
  <c r="S304" i="2"/>
  <c r="S303" i="2"/>
  <c r="S302" i="2"/>
  <c r="S301" i="2"/>
  <c r="S300" i="2"/>
  <c r="S299" i="2"/>
  <c r="S298" i="2"/>
  <c r="S297" i="2"/>
  <c r="S296" i="2"/>
  <c r="S295" i="2"/>
  <c r="S294" i="2"/>
  <c r="S293" i="2"/>
  <c r="S292" i="2"/>
  <c r="S291" i="2"/>
  <c r="S290" i="2"/>
  <c r="S289" i="2"/>
  <c r="S288" i="2"/>
  <c r="S287" i="2"/>
  <c r="S286" i="2"/>
  <c r="S285" i="2"/>
  <c r="S284" i="2"/>
  <c r="S283" i="2"/>
  <c r="S282" i="2"/>
  <c r="S281" i="2"/>
  <c r="S280" i="2"/>
  <c r="S279" i="2"/>
  <c r="S278" i="2"/>
  <c r="S277" i="2"/>
  <c r="S276" i="2"/>
  <c r="S275" i="2"/>
  <c r="S274" i="2"/>
  <c r="S273" i="2"/>
  <c r="S272" i="2"/>
  <c r="S271" i="2"/>
  <c r="S270" i="2"/>
  <c r="S269" i="2"/>
  <c r="S268" i="2"/>
  <c r="S267" i="2"/>
  <c r="S266" i="2"/>
  <c r="S265" i="2"/>
  <c r="S264" i="2"/>
  <c r="S263" i="2"/>
  <c r="S262" i="2"/>
  <c r="S261" i="2"/>
  <c r="S260" i="2"/>
  <c r="S259" i="2"/>
  <c r="S258" i="2"/>
  <c r="S257" i="2"/>
  <c r="S256" i="2"/>
  <c r="S255" i="2"/>
  <c r="S254" i="2"/>
  <c r="S253" i="2"/>
  <c r="S252" i="2"/>
  <c r="S251" i="2"/>
  <c r="S250" i="2"/>
  <c r="S249" i="2"/>
  <c r="S248" i="2"/>
  <c r="S247" i="2"/>
  <c r="S246" i="2"/>
  <c r="S245" i="2"/>
  <c r="S244" i="2"/>
  <c r="S243" i="2"/>
  <c r="S242" i="2"/>
  <c r="S241" i="2"/>
  <c r="S240" i="2"/>
  <c r="S239" i="2"/>
  <c r="S238" i="2"/>
  <c r="S237" i="2"/>
  <c r="S236" i="2"/>
  <c r="S235" i="2"/>
  <c r="S234" i="2"/>
  <c r="S233" i="2"/>
  <c r="S232" i="2"/>
  <c r="S231" i="2"/>
  <c r="S230" i="2"/>
  <c r="S229" i="2"/>
  <c r="S228" i="2"/>
  <c r="S227" i="2"/>
  <c r="S226" i="2"/>
  <c r="S225" i="2"/>
  <c r="S224" i="2"/>
  <c r="S223" i="2"/>
  <c r="S222" i="2"/>
  <c r="S221" i="2"/>
  <c r="S220" i="2"/>
  <c r="S219" i="2"/>
  <c r="S218" i="2"/>
  <c r="S217" i="2"/>
  <c r="S216" i="2"/>
  <c r="S215" i="2"/>
  <c r="S214" i="2"/>
  <c r="S213" i="2"/>
  <c r="S212" i="2"/>
  <c r="S211" i="2"/>
  <c r="S210" i="2"/>
  <c r="S209" i="2"/>
  <c r="S208" i="2"/>
  <c r="S207" i="2"/>
  <c r="S206" i="2"/>
  <c r="S205" i="2"/>
  <c r="S204" i="2"/>
  <c r="S203" i="2"/>
  <c r="S202" i="2"/>
  <c r="S201" i="2"/>
  <c r="S200" i="2"/>
  <c r="S199" i="2"/>
  <c r="S198" i="2"/>
  <c r="S197" i="2"/>
  <c r="S196" i="2"/>
  <c r="S195" i="2"/>
  <c r="S194" i="2"/>
  <c r="S193" i="2"/>
  <c r="S192" i="2"/>
  <c r="S191" i="2"/>
  <c r="S190" i="2"/>
  <c r="S189" i="2"/>
  <c r="S188" i="2"/>
  <c r="S187" i="2"/>
  <c r="S186" i="2"/>
  <c r="S185" i="2"/>
  <c r="S184" i="2"/>
  <c r="S183" i="2"/>
  <c r="S182" i="2"/>
  <c r="S181" i="2"/>
  <c r="S180" i="2"/>
  <c r="S179" i="2"/>
  <c r="S178" i="2"/>
  <c r="S177" i="2"/>
  <c r="S176" i="2"/>
  <c r="S175" i="2"/>
  <c r="S174" i="2"/>
  <c r="S173" i="2"/>
  <c r="S172" i="2"/>
  <c r="S171" i="2"/>
  <c r="S170" i="2"/>
  <c r="S169" i="2"/>
  <c r="S168" i="2"/>
  <c r="S167" i="2"/>
  <c r="S166" i="2"/>
  <c r="S165" i="2"/>
  <c r="S164" i="2"/>
  <c r="S163" i="2"/>
  <c r="S162" i="2"/>
  <c r="S161" i="2"/>
  <c r="S160" i="2"/>
  <c r="S159" i="2"/>
  <c r="S158" i="2"/>
  <c r="S157" i="2"/>
  <c r="S156" i="2"/>
  <c r="S155" i="2"/>
  <c r="S154" i="2"/>
  <c r="S153" i="2"/>
  <c r="S152" i="2"/>
  <c r="S151" i="2"/>
  <c r="S150" i="2"/>
  <c r="S149" i="2"/>
  <c r="S148" i="2"/>
  <c r="S147" i="2"/>
  <c r="S146" i="2"/>
  <c r="S145" i="2"/>
  <c r="S144" i="2"/>
  <c r="S143" i="2"/>
  <c r="S142" i="2"/>
  <c r="S141" i="2"/>
  <c r="S140" i="2"/>
  <c r="S139" i="2"/>
  <c r="S138" i="2"/>
  <c r="S137" i="2"/>
  <c r="S136" i="2"/>
  <c r="S135" i="2"/>
  <c r="S134" i="2"/>
  <c r="S133" i="2"/>
  <c r="S132" i="2"/>
  <c r="S131" i="2"/>
  <c r="S130" i="2"/>
  <c r="S129" i="2"/>
  <c r="S128" i="2"/>
  <c r="S127" i="2"/>
  <c r="S126" i="2"/>
  <c r="S125" i="2"/>
  <c r="S124" i="2"/>
  <c r="S123" i="2"/>
  <c r="S122" i="2"/>
  <c r="S121" i="2"/>
  <c r="S120" i="2"/>
  <c r="S119" i="2"/>
  <c r="S118" i="2"/>
  <c r="S117" i="2"/>
  <c r="S116" i="2"/>
  <c r="S115" i="2"/>
  <c r="S114" i="2"/>
  <c r="S113" i="2"/>
  <c r="S112" i="2"/>
  <c r="S111" i="2"/>
  <c r="S110" i="2"/>
  <c r="S109" i="2"/>
  <c r="S108" i="2"/>
  <c r="S107" i="2"/>
  <c r="S106" i="2"/>
  <c r="S105" i="2"/>
  <c r="S104" i="2"/>
  <c r="S103" i="2"/>
  <c r="S102" i="2"/>
  <c r="S101" i="2"/>
  <c r="S100" i="2"/>
  <c r="S99" i="2"/>
  <c r="S98" i="2"/>
  <c r="S97" i="2"/>
  <c r="S96" i="2"/>
  <c r="S95" i="2"/>
  <c r="S94" i="2"/>
  <c r="S93" i="2"/>
  <c r="S92" i="2"/>
  <c r="S91" i="2"/>
  <c r="S90" i="2"/>
  <c r="S89" i="2"/>
  <c r="S88" i="2"/>
  <c r="S87" i="2"/>
  <c r="S86" i="2"/>
  <c r="S85" i="2"/>
  <c r="S84" i="2"/>
  <c r="S83" i="2"/>
  <c r="S82" i="2"/>
  <c r="S81" i="2"/>
  <c r="S80" i="2"/>
  <c r="S79" i="2"/>
  <c r="S78" i="2"/>
  <c r="S77" i="2"/>
  <c r="S76" i="2"/>
  <c r="S75" i="2"/>
  <c r="S74" i="2"/>
  <c r="S73" i="2"/>
  <c r="S72" i="2"/>
  <c r="S71" i="2"/>
  <c r="S70" i="2"/>
  <c r="S69" i="2"/>
  <c r="S68" i="2"/>
  <c r="S67" i="2"/>
  <c r="S66" i="2"/>
  <c r="S65" i="2"/>
  <c r="S64" i="2"/>
  <c r="S63" i="2"/>
  <c r="S62" i="2"/>
  <c r="S61" i="2"/>
  <c r="S60" i="2"/>
  <c r="S59" i="2"/>
  <c r="S58" i="2"/>
  <c r="S57" i="2"/>
  <c r="S56" i="2"/>
  <c r="S55" i="2"/>
  <c r="S54" i="2"/>
  <c r="S53" i="2"/>
  <c r="S52" i="2"/>
  <c r="S51" i="2"/>
  <c r="S50" i="2"/>
  <c r="S49" i="2"/>
  <c r="S48" i="2"/>
  <c r="S47" i="2"/>
  <c r="S46" i="2"/>
  <c r="S45" i="2"/>
  <c r="S44" i="2"/>
  <c r="S43" i="2"/>
  <c r="S42" i="2"/>
  <c r="S41" i="2"/>
  <c r="S40" i="2"/>
  <c r="S39" i="2"/>
  <c r="S38" i="2"/>
  <c r="S37" i="2"/>
  <c r="S36" i="2"/>
  <c r="S35" i="2"/>
  <c r="S34" i="2"/>
  <c r="S33" i="2"/>
  <c r="S32" i="2"/>
  <c r="S31" i="2"/>
  <c r="S30" i="2"/>
  <c r="S29" i="2"/>
  <c r="J28" i="5" s="1"/>
  <c r="S28" i="2"/>
  <c r="S27" i="2"/>
  <c r="S26" i="2"/>
  <c r="J17" i="5"/>
  <c r="S15" i="2"/>
  <c r="S14" i="2"/>
  <c r="S13" i="2"/>
  <c r="J310" i="2"/>
  <c r="J309" i="2"/>
  <c r="J308" i="2"/>
  <c r="J307" i="2"/>
  <c r="J306" i="2"/>
  <c r="J305" i="2"/>
  <c r="J304" i="2"/>
  <c r="J303" i="2"/>
  <c r="J302" i="2"/>
  <c r="J301" i="2"/>
  <c r="J300" i="2"/>
  <c r="J299" i="2"/>
  <c r="J298" i="2"/>
  <c r="J297" i="2"/>
  <c r="J296" i="2"/>
  <c r="J295" i="2"/>
  <c r="J294" i="2"/>
  <c r="J293" i="2"/>
  <c r="J292" i="2"/>
  <c r="J291" i="2"/>
  <c r="J290" i="2"/>
  <c r="J289" i="2"/>
  <c r="J288" i="2"/>
  <c r="J287" i="2"/>
  <c r="J286" i="2"/>
  <c r="J285" i="2"/>
  <c r="J284" i="2"/>
  <c r="J283" i="2"/>
  <c r="J282" i="2"/>
  <c r="J281" i="2"/>
  <c r="J280" i="2"/>
  <c r="J279" i="2"/>
  <c r="J278" i="2"/>
  <c r="J277" i="2"/>
  <c r="J276" i="2"/>
  <c r="J275" i="2"/>
  <c r="J274" i="2"/>
  <c r="J273" i="2"/>
  <c r="J272" i="5" s="1"/>
  <c r="J272" i="2"/>
  <c r="J271" i="2"/>
  <c r="J270" i="2"/>
  <c r="J269" i="2"/>
  <c r="J268" i="2"/>
  <c r="J267" i="2"/>
  <c r="J266" i="2"/>
  <c r="J265" i="2"/>
  <c r="J264" i="2"/>
  <c r="J263" i="2"/>
  <c r="J262" i="2"/>
  <c r="J261" i="2"/>
  <c r="J260" i="2"/>
  <c r="J259" i="2"/>
  <c r="J258" i="2"/>
  <c r="J257" i="2"/>
  <c r="J256" i="2"/>
  <c r="J255" i="2"/>
  <c r="J254" i="2"/>
  <c r="J253" i="2"/>
  <c r="J252" i="2"/>
  <c r="J251" i="2"/>
  <c r="J250" i="2"/>
  <c r="J249" i="2"/>
  <c r="J248" i="2"/>
  <c r="J247" i="2"/>
  <c r="J246" i="2"/>
  <c r="J245" i="2"/>
  <c r="J244" i="2"/>
  <c r="J243" i="2"/>
  <c r="J242" i="2"/>
  <c r="J241" i="2"/>
  <c r="J240" i="2"/>
  <c r="J239" i="2"/>
  <c r="J238" i="2"/>
  <c r="J237" i="2"/>
  <c r="J236" i="2"/>
  <c r="J235" i="2"/>
  <c r="J234" i="2"/>
  <c r="J233" i="2"/>
  <c r="J232" i="2"/>
  <c r="J231" i="2"/>
  <c r="J230" i="2"/>
  <c r="J229" i="2"/>
  <c r="J228" i="2"/>
  <c r="J227" i="2"/>
  <c r="J226" i="2"/>
  <c r="J225" i="2"/>
  <c r="J224" i="2"/>
  <c r="J223" i="2"/>
  <c r="J222" i="2"/>
  <c r="J221" i="2"/>
  <c r="J220" i="2"/>
  <c r="J219" i="2"/>
  <c r="J218" i="2"/>
  <c r="J217" i="2"/>
  <c r="J216" i="2"/>
  <c r="J215" i="2"/>
  <c r="J214" i="2"/>
  <c r="J213" i="2"/>
  <c r="J212" i="2"/>
  <c r="J211" i="2"/>
  <c r="J210" i="2"/>
  <c r="J209" i="2"/>
  <c r="J208" i="2"/>
  <c r="J207" i="2"/>
  <c r="J206" i="2"/>
  <c r="J205" i="2"/>
  <c r="J204" i="2"/>
  <c r="J203" i="2"/>
  <c r="J202" i="2"/>
  <c r="J201" i="2"/>
  <c r="J200" i="2"/>
  <c r="J199" i="2"/>
  <c r="J198" i="2"/>
  <c r="J197" i="2"/>
  <c r="J196" i="2"/>
  <c r="J195" i="2"/>
  <c r="J194" i="2"/>
  <c r="J193" i="2"/>
  <c r="J192" i="2"/>
  <c r="J191" i="2"/>
  <c r="J190" i="2"/>
  <c r="J189" i="2"/>
  <c r="J188" i="2"/>
  <c r="J187" i="2"/>
  <c r="J186" i="2"/>
  <c r="J185" i="2"/>
  <c r="J184" i="2"/>
  <c r="J183" i="2"/>
  <c r="J182" i="2"/>
  <c r="J181" i="2"/>
  <c r="J180" i="2"/>
  <c r="J179" i="2"/>
  <c r="J178" i="2"/>
  <c r="J177" i="2"/>
  <c r="J176" i="2"/>
  <c r="J175" i="2"/>
  <c r="J174" i="2"/>
  <c r="J173" i="2"/>
  <c r="J172" i="2"/>
  <c r="J171" i="2"/>
  <c r="J170" i="2"/>
  <c r="J169" i="2"/>
  <c r="J168" i="2"/>
  <c r="J167" i="2"/>
  <c r="J166" i="2"/>
  <c r="J165" i="2"/>
  <c r="J164" i="2"/>
  <c r="J163" i="2"/>
  <c r="J162" i="2"/>
  <c r="J161" i="2"/>
  <c r="J160" i="2"/>
  <c r="J159" i="2"/>
  <c r="J158" i="2"/>
  <c r="J157" i="2"/>
  <c r="J156" i="2"/>
  <c r="J155" i="2"/>
  <c r="J154" i="2"/>
  <c r="J153" i="2"/>
  <c r="J152" i="2"/>
  <c r="J151" i="2"/>
  <c r="J150" i="2"/>
  <c r="J149" i="2"/>
  <c r="J148" i="2"/>
  <c r="J147" i="2"/>
  <c r="J146" i="2"/>
  <c r="J145" i="2"/>
  <c r="J144" i="2"/>
  <c r="J143" i="2"/>
  <c r="J142" i="2"/>
  <c r="J141" i="2"/>
  <c r="J140" i="2"/>
  <c r="J139" i="2"/>
  <c r="J138" i="2"/>
  <c r="J137" i="2"/>
  <c r="J136" i="2"/>
  <c r="J135" i="2"/>
  <c r="J134" i="2"/>
  <c r="J133" i="2"/>
  <c r="J132" i="2"/>
  <c r="J131" i="2"/>
  <c r="J130" i="2"/>
  <c r="J129" i="2"/>
  <c r="J128" i="2"/>
  <c r="J127" i="2"/>
  <c r="J126" i="2"/>
  <c r="J125" i="2"/>
  <c r="J124" i="2"/>
  <c r="J123" i="2"/>
  <c r="J122" i="2"/>
  <c r="J121" i="2"/>
  <c r="J120" i="2"/>
  <c r="J119" i="2"/>
  <c r="J118" i="2"/>
  <c r="J117" i="2"/>
  <c r="J116" i="2"/>
  <c r="J115" i="2"/>
  <c r="J114" i="2"/>
  <c r="J113" i="2"/>
  <c r="J112" i="2"/>
  <c r="J111" i="2"/>
  <c r="J110" i="2"/>
  <c r="J109" i="2"/>
  <c r="J108" i="2"/>
  <c r="J107" i="2"/>
  <c r="J106" i="2"/>
  <c r="J105" i="2"/>
  <c r="J104" i="2"/>
  <c r="J103" i="2"/>
  <c r="J102" i="2"/>
  <c r="J101" i="2"/>
  <c r="J100" i="2"/>
  <c r="J99" i="2"/>
  <c r="J98" i="2"/>
  <c r="J97" i="2"/>
  <c r="J96" i="2"/>
  <c r="J95" i="2"/>
  <c r="J94" i="2"/>
  <c r="J93" i="2"/>
  <c r="J92" i="2"/>
  <c r="J91" i="2"/>
  <c r="J90" i="2"/>
  <c r="J89" i="2"/>
  <c r="J88" i="2"/>
  <c r="J87" i="2"/>
  <c r="J86" i="2"/>
  <c r="J85" i="2"/>
  <c r="J84" i="2"/>
  <c r="J83" i="2"/>
  <c r="J82" i="2"/>
  <c r="J81" i="2"/>
  <c r="J80" i="2"/>
  <c r="J79" i="5" s="1"/>
  <c r="J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7" i="5"/>
  <c r="J24" i="5"/>
  <c r="J23" i="5"/>
  <c r="J15" i="2"/>
  <c r="J14" i="2"/>
  <c r="J12" i="2"/>
  <c r="J11" i="5" s="1"/>
  <c r="J10" i="5"/>
  <c r="J182" i="5"/>
  <c r="J22" i="5"/>
  <c r="J21" i="5"/>
  <c r="J20" i="5"/>
  <c r="J19" i="5"/>
  <c r="J18" i="5"/>
  <c r="J16" i="5"/>
  <c r="J15" i="5"/>
  <c r="H309" i="5"/>
  <c r="H308" i="5"/>
  <c r="H307" i="5"/>
  <c r="H306" i="5"/>
  <c r="H305" i="5"/>
  <c r="H304" i="5"/>
  <c r="H303" i="5"/>
  <c r="H302" i="5"/>
  <c r="H301" i="5"/>
  <c r="H300" i="5"/>
  <c r="H299" i="5"/>
  <c r="H298" i="5"/>
  <c r="H297" i="5"/>
  <c r="H296" i="5"/>
  <c r="H295" i="5"/>
  <c r="H294" i="5"/>
  <c r="H293" i="5"/>
  <c r="H292" i="5"/>
  <c r="H291" i="5"/>
  <c r="H290" i="5"/>
  <c r="H289" i="5"/>
  <c r="H288" i="5"/>
  <c r="H287" i="5"/>
  <c r="H286" i="5"/>
  <c r="H285" i="5"/>
  <c r="H284" i="5"/>
  <c r="H283" i="5"/>
  <c r="H282" i="5"/>
  <c r="H281" i="5"/>
  <c r="H280" i="5"/>
  <c r="H279" i="5"/>
  <c r="H278" i="5"/>
  <c r="H277" i="5"/>
  <c r="H276" i="5"/>
  <c r="H275" i="5"/>
  <c r="H274" i="5"/>
  <c r="H273" i="5"/>
  <c r="H272" i="5"/>
  <c r="H271" i="5"/>
  <c r="H270" i="5"/>
  <c r="H269" i="5"/>
  <c r="H268" i="5"/>
  <c r="H267" i="5"/>
  <c r="H266" i="5"/>
  <c r="H265" i="5"/>
  <c r="H264" i="5"/>
  <c r="H263" i="5"/>
  <c r="H262" i="5"/>
  <c r="H261" i="5"/>
  <c r="H260" i="5"/>
  <c r="H259" i="5"/>
  <c r="H258" i="5"/>
  <c r="H257" i="5"/>
  <c r="H256" i="5"/>
  <c r="H255" i="5"/>
  <c r="H254" i="5"/>
  <c r="H253" i="5"/>
  <c r="H252" i="5"/>
  <c r="H251" i="5"/>
  <c r="H250" i="5"/>
  <c r="H249" i="5"/>
  <c r="H248" i="5"/>
  <c r="H247" i="5"/>
  <c r="H246" i="5"/>
  <c r="H245" i="5"/>
  <c r="H244" i="5"/>
  <c r="H243" i="5"/>
  <c r="H242" i="5"/>
  <c r="H241" i="5"/>
  <c r="H240" i="5"/>
  <c r="H239" i="5"/>
  <c r="H238" i="5"/>
  <c r="H237" i="5"/>
  <c r="H236" i="5"/>
  <c r="H235" i="5"/>
  <c r="H234" i="5"/>
  <c r="H233" i="5"/>
  <c r="H232" i="5"/>
  <c r="H231" i="5"/>
  <c r="H230" i="5"/>
  <c r="H229" i="5"/>
  <c r="H228" i="5"/>
  <c r="H227" i="5"/>
  <c r="H226" i="5"/>
  <c r="H225" i="5"/>
  <c r="H224" i="5"/>
  <c r="H223" i="5"/>
  <c r="H222" i="5"/>
  <c r="H221" i="5"/>
  <c r="H220" i="5"/>
  <c r="H219" i="5"/>
  <c r="H218" i="5"/>
  <c r="H217" i="5"/>
  <c r="H216" i="5"/>
  <c r="H215" i="5"/>
  <c r="H214" i="5"/>
  <c r="H213" i="5"/>
  <c r="H212" i="5"/>
  <c r="H211" i="5"/>
  <c r="H210" i="5"/>
  <c r="H209" i="5"/>
  <c r="H208" i="5"/>
  <c r="H207" i="5"/>
  <c r="H206" i="5"/>
  <c r="H205" i="5"/>
  <c r="H204" i="5"/>
  <c r="H203" i="5"/>
  <c r="H202" i="5"/>
  <c r="H201" i="5"/>
  <c r="H200" i="5"/>
  <c r="H199" i="5"/>
  <c r="H198" i="5"/>
  <c r="H197" i="5"/>
  <c r="H196" i="5"/>
  <c r="H195" i="5"/>
  <c r="H194" i="5"/>
  <c r="H193" i="5"/>
  <c r="H192" i="5"/>
  <c r="H191" i="5"/>
  <c r="H190" i="5"/>
  <c r="H189" i="5"/>
  <c r="H188" i="5"/>
  <c r="H187" i="5"/>
  <c r="H186" i="5"/>
  <c r="H185" i="5"/>
  <c r="H184" i="5"/>
  <c r="H183" i="5"/>
  <c r="H182" i="5"/>
  <c r="H181" i="5"/>
  <c r="H180" i="5"/>
  <c r="H179" i="5"/>
  <c r="H178" i="5"/>
  <c r="H177" i="5"/>
  <c r="H176" i="5"/>
  <c r="H175" i="5"/>
  <c r="H174" i="5"/>
  <c r="H173" i="5"/>
  <c r="H172" i="5"/>
  <c r="H171" i="5"/>
  <c r="H170" i="5"/>
  <c r="H169" i="5"/>
  <c r="H168" i="5"/>
  <c r="H167" i="5"/>
  <c r="H166" i="5"/>
  <c r="H165" i="5"/>
  <c r="H164" i="5"/>
  <c r="H163" i="5"/>
  <c r="H162" i="5"/>
  <c r="H161" i="5"/>
  <c r="H160" i="5"/>
  <c r="H159" i="5"/>
  <c r="H158" i="5"/>
  <c r="H157" i="5"/>
  <c r="H156" i="5"/>
  <c r="H155" i="5"/>
  <c r="H154" i="5"/>
  <c r="H153" i="5"/>
  <c r="H152" i="5"/>
  <c r="H151" i="5"/>
  <c r="H150" i="5"/>
  <c r="H149" i="5"/>
  <c r="H148" i="5"/>
  <c r="H147" i="5"/>
  <c r="H146" i="5"/>
  <c r="H145" i="5"/>
  <c r="H144" i="5"/>
  <c r="H143" i="5"/>
  <c r="H142" i="5"/>
  <c r="H141" i="5"/>
  <c r="H140" i="5"/>
  <c r="H139" i="5"/>
  <c r="H138" i="5"/>
  <c r="H137" i="5"/>
  <c r="H136" i="5"/>
  <c r="H135" i="5"/>
  <c r="H134" i="5"/>
  <c r="H133" i="5"/>
  <c r="H132" i="5"/>
  <c r="H131" i="5"/>
  <c r="H130" i="5"/>
  <c r="H129" i="5"/>
  <c r="H128" i="5"/>
  <c r="H127" i="5"/>
  <c r="H126" i="5"/>
  <c r="H125" i="5"/>
  <c r="H124" i="5"/>
  <c r="H123" i="5"/>
  <c r="H122" i="5"/>
  <c r="H121" i="5"/>
  <c r="H120" i="5"/>
  <c r="H119" i="5"/>
  <c r="H118" i="5"/>
  <c r="H117" i="5"/>
  <c r="H116" i="5"/>
  <c r="H115" i="5"/>
  <c r="H114" i="5"/>
  <c r="H113" i="5"/>
  <c r="H112" i="5"/>
  <c r="H111" i="5"/>
  <c r="H110" i="5"/>
  <c r="H109" i="5"/>
  <c r="H108" i="5"/>
  <c r="H107" i="5"/>
  <c r="H106" i="5"/>
  <c r="H105" i="5"/>
  <c r="H104" i="5"/>
  <c r="H103" i="5"/>
  <c r="H102" i="5"/>
  <c r="H101" i="5"/>
  <c r="H100" i="5"/>
  <c r="H99" i="5"/>
  <c r="H98" i="5"/>
  <c r="H97" i="5"/>
  <c r="H96" i="5"/>
  <c r="H95" i="5"/>
  <c r="H94" i="5"/>
  <c r="H93" i="5"/>
  <c r="H92" i="5"/>
  <c r="H91" i="5"/>
  <c r="H90" i="5"/>
  <c r="H89" i="5"/>
  <c r="H88" i="5"/>
  <c r="H87" i="5"/>
  <c r="H86" i="5"/>
  <c r="H85" i="5"/>
  <c r="H84" i="5"/>
  <c r="H83" i="5"/>
  <c r="H82" i="5"/>
  <c r="H81" i="5"/>
  <c r="H80" i="5"/>
  <c r="H79" i="5"/>
  <c r="H78" i="5"/>
  <c r="H77" i="5"/>
  <c r="H76" i="5"/>
  <c r="H75" i="5"/>
  <c r="H74" i="5"/>
  <c r="H73" i="5"/>
  <c r="H72" i="5"/>
  <c r="H71" i="5"/>
  <c r="H70" i="5"/>
  <c r="H69" i="5"/>
  <c r="H68" i="5"/>
  <c r="H67" i="5"/>
  <c r="H66" i="5"/>
  <c r="H65" i="5"/>
  <c r="H64" i="5"/>
  <c r="H63" i="5"/>
  <c r="H62" i="5"/>
  <c r="H61" i="5"/>
  <c r="H60" i="5"/>
  <c r="H59" i="5"/>
  <c r="H58" i="5"/>
  <c r="H57" i="5"/>
  <c r="H56" i="5"/>
  <c r="H55" i="5"/>
  <c r="H54" i="5"/>
  <c r="H53" i="5"/>
  <c r="H52" i="5"/>
  <c r="H51" i="5"/>
  <c r="H50" i="5"/>
  <c r="H49" i="5"/>
  <c r="H48" i="5"/>
  <c r="H47" i="5"/>
  <c r="H46" i="5"/>
  <c r="H45" i="5"/>
  <c r="H44" i="5"/>
  <c r="H43" i="5"/>
  <c r="H42" i="5"/>
  <c r="H41" i="5"/>
  <c r="H40" i="5"/>
  <c r="H39" i="5"/>
  <c r="H38" i="5"/>
  <c r="H37" i="5"/>
  <c r="H36" i="5"/>
  <c r="H35" i="5"/>
  <c r="H34" i="5"/>
  <c r="H33" i="5"/>
  <c r="H32" i="5"/>
  <c r="H31" i="5"/>
  <c r="H30" i="5"/>
  <c r="H29" i="5"/>
  <c r="H28" i="5"/>
  <c r="H27" i="5"/>
  <c r="H26" i="5"/>
  <c r="H25" i="5"/>
  <c r="H24" i="5"/>
  <c r="H23" i="5"/>
  <c r="H22" i="5"/>
  <c r="H21" i="5"/>
  <c r="H20" i="5"/>
  <c r="H19" i="5"/>
  <c r="H18" i="5"/>
  <c r="H17" i="5"/>
  <c r="H16" i="5"/>
  <c r="H15" i="5"/>
  <c r="H14" i="5"/>
  <c r="H13" i="5"/>
  <c r="H12" i="5"/>
  <c r="H11" i="5"/>
  <c r="H10" i="5"/>
  <c r="F309" i="5"/>
  <c r="F308" i="5"/>
  <c r="F307" i="5"/>
  <c r="F306" i="5"/>
  <c r="F305" i="5"/>
  <c r="F304" i="5"/>
  <c r="F303" i="5"/>
  <c r="F302" i="5"/>
  <c r="F301" i="5"/>
  <c r="F300" i="5"/>
  <c r="F299" i="5"/>
  <c r="F298" i="5"/>
  <c r="F297" i="5"/>
  <c r="F296" i="5"/>
  <c r="F295" i="5"/>
  <c r="F294" i="5"/>
  <c r="F293" i="5"/>
  <c r="F292" i="5"/>
  <c r="F291" i="5"/>
  <c r="F290" i="5"/>
  <c r="F289" i="5"/>
  <c r="F288" i="5"/>
  <c r="F287" i="5"/>
  <c r="F286" i="5"/>
  <c r="F285" i="5"/>
  <c r="F284" i="5"/>
  <c r="F283" i="5"/>
  <c r="F282" i="5"/>
  <c r="F281" i="5"/>
  <c r="F280" i="5"/>
  <c r="F279" i="5"/>
  <c r="F278" i="5"/>
  <c r="F277" i="5"/>
  <c r="F276" i="5"/>
  <c r="F275" i="5"/>
  <c r="F274" i="5"/>
  <c r="F273" i="5"/>
  <c r="F272" i="5"/>
  <c r="F271" i="5"/>
  <c r="F270" i="5"/>
  <c r="F269" i="5"/>
  <c r="F268" i="5"/>
  <c r="F267" i="5"/>
  <c r="F266" i="5"/>
  <c r="F265" i="5"/>
  <c r="F264" i="5"/>
  <c r="F263" i="5"/>
  <c r="F262" i="5"/>
  <c r="F261" i="5"/>
  <c r="F260" i="5"/>
  <c r="F259" i="5"/>
  <c r="F258" i="5"/>
  <c r="F257" i="5"/>
  <c r="F256" i="5"/>
  <c r="F255" i="5"/>
  <c r="F254" i="5"/>
  <c r="F253" i="5"/>
  <c r="F252" i="5"/>
  <c r="F251" i="5"/>
  <c r="F250" i="5"/>
  <c r="F249" i="5"/>
  <c r="F248" i="5"/>
  <c r="F247" i="5"/>
  <c r="F246" i="5"/>
  <c r="F245" i="5"/>
  <c r="F244" i="5"/>
  <c r="F243" i="5"/>
  <c r="F242" i="5"/>
  <c r="F241" i="5"/>
  <c r="F240" i="5"/>
  <c r="F239" i="5"/>
  <c r="F238" i="5"/>
  <c r="F237" i="5"/>
  <c r="F236" i="5"/>
  <c r="F235" i="5"/>
  <c r="F234" i="5"/>
  <c r="F233" i="5"/>
  <c r="F232" i="5"/>
  <c r="F231" i="5"/>
  <c r="F230" i="5"/>
  <c r="F229" i="5"/>
  <c r="F228" i="5"/>
  <c r="F227" i="5"/>
  <c r="F226" i="5"/>
  <c r="F225" i="5"/>
  <c r="F224" i="5"/>
  <c r="F223" i="5"/>
  <c r="F222" i="5"/>
  <c r="F221" i="5"/>
  <c r="F220" i="5"/>
  <c r="F219" i="5"/>
  <c r="F218" i="5"/>
  <c r="F217" i="5"/>
  <c r="F216" i="5"/>
  <c r="F215" i="5"/>
  <c r="F214" i="5"/>
  <c r="F213" i="5"/>
  <c r="F212" i="5"/>
  <c r="F211" i="5"/>
  <c r="F210" i="5"/>
  <c r="F209" i="5"/>
  <c r="F208" i="5"/>
  <c r="F207" i="5"/>
  <c r="F206" i="5"/>
  <c r="F205" i="5"/>
  <c r="F204" i="5"/>
  <c r="F203" i="5"/>
  <c r="F202" i="5"/>
  <c r="F201" i="5"/>
  <c r="F200" i="5"/>
  <c r="F199" i="5"/>
  <c r="F198" i="5"/>
  <c r="F197" i="5"/>
  <c r="F196" i="5"/>
  <c r="F195" i="5"/>
  <c r="F194" i="5"/>
  <c r="F193" i="5"/>
  <c r="F192" i="5"/>
  <c r="F191" i="5"/>
  <c r="F190" i="5"/>
  <c r="F189" i="5"/>
  <c r="F188" i="5"/>
  <c r="F187" i="5"/>
  <c r="F186" i="5"/>
  <c r="F185" i="5"/>
  <c r="F184" i="5"/>
  <c r="F183" i="5"/>
  <c r="F182" i="5"/>
  <c r="F181" i="5"/>
  <c r="F180" i="5"/>
  <c r="F179" i="5"/>
  <c r="F178" i="5"/>
  <c r="F177" i="5"/>
  <c r="F176" i="5"/>
  <c r="F175" i="5"/>
  <c r="F174" i="5"/>
  <c r="F173" i="5"/>
  <c r="F172" i="5"/>
  <c r="F171" i="5"/>
  <c r="F170" i="5"/>
  <c r="F169" i="5"/>
  <c r="F168" i="5"/>
  <c r="F167" i="5"/>
  <c r="F166" i="5"/>
  <c r="F165" i="5"/>
  <c r="F164" i="5"/>
  <c r="F163" i="5"/>
  <c r="F162" i="5"/>
  <c r="F161" i="5"/>
  <c r="F160" i="5"/>
  <c r="F159" i="5"/>
  <c r="F158" i="5"/>
  <c r="F157" i="5"/>
  <c r="F156" i="5"/>
  <c r="F155" i="5"/>
  <c r="F154" i="5"/>
  <c r="F153" i="5"/>
  <c r="F152" i="5"/>
  <c r="F151" i="5"/>
  <c r="F150" i="5"/>
  <c r="F149" i="5"/>
  <c r="F148" i="5"/>
  <c r="F147" i="5"/>
  <c r="F146" i="5"/>
  <c r="F145" i="5"/>
  <c r="F144" i="5"/>
  <c r="F143" i="5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F119" i="5"/>
  <c r="F118" i="5"/>
  <c r="F117" i="5"/>
  <c r="F116" i="5"/>
  <c r="F115" i="5"/>
  <c r="F114" i="5"/>
  <c r="F113" i="5"/>
  <c r="F112" i="5"/>
  <c r="F111" i="5"/>
  <c r="F110" i="5"/>
  <c r="F109" i="5"/>
  <c r="F108" i="5"/>
  <c r="F107" i="5"/>
  <c r="F106" i="5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F82" i="5"/>
  <c r="F81" i="5"/>
  <c r="F80" i="5"/>
  <c r="F79" i="5"/>
  <c r="F78" i="5"/>
  <c r="F77" i="5"/>
  <c r="F76" i="5"/>
  <c r="F75" i="5"/>
  <c r="F74" i="5"/>
  <c r="F73" i="5"/>
  <c r="F72" i="5"/>
  <c r="F71" i="5"/>
  <c r="F70" i="5"/>
  <c r="F69" i="5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F45" i="5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D309" i="5"/>
  <c r="D308" i="5"/>
  <c r="D307" i="5"/>
  <c r="D306" i="5"/>
  <c r="D305" i="5"/>
  <c r="D304" i="5"/>
  <c r="D303" i="5"/>
  <c r="D302" i="5"/>
  <c r="D301" i="5"/>
  <c r="D300" i="5"/>
  <c r="D299" i="5"/>
  <c r="D298" i="5"/>
  <c r="D297" i="5"/>
  <c r="D296" i="5"/>
  <c r="D295" i="5"/>
  <c r="D294" i="5"/>
  <c r="D293" i="5"/>
  <c r="D292" i="5"/>
  <c r="D291" i="5"/>
  <c r="D290" i="5"/>
  <c r="D289" i="5"/>
  <c r="D288" i="5"/>
  <c r="D287" i="5"/>
  <c r="D286" i="5"/>
  <c r="D285" i="5"/>
  <c r="D284" i="5"/>
  <c r="D283" i="5"/>
  <c r="D282" i="5"/>
  <c r="D281" i="5"/>
  <c r="D280" i="5"/>
  <c r="D279" i="5"/>
  <c r="D278" i="5"/>
  <c r="D277" i="5"/>
  <c r="D276" i="5"/>
  <c r="D275" i="5"/>
  <c r="D274" i="5"/>
  <c r="D273" i="5"/>
  <c r="D272" i="5"/>
  <c r="D271" i="5"/>
  <c r="D270" i="5"/>
  <c r="D269" i="5"/>
  <c r="D268" i="5"/>
  <c r="D267" i="5"/>
  <c r="D266" i="5"/>
  <c r="D265" i="5"/>
  <c r="D264" i="5"/>
  <c r="D263" i="5"/>
  <c r="D262" i="5"/>
  <c r="D261" i="5"/>
  <c r="D260" i="5"/>
  <c r="D259" i="5"/>
  <c r="D258" i="5"/>
  <c r="D257" i="5"/>
  <c r="D256" i="5"/>
  <c r="D255" i="5"/>
  <c r="D254" i="5"/>
  <c r="D253" i="5"/>
  <c r="D252" i="5"/>
  <c r="D251" i="5"/>
  <c r="D250" i="5"/>
  <c r="D249" i="5"/>
  <c r="D248" i="5"/>
  <c r="D247" i="5"/>
  <c r="D246" i="5"/>
  <c r="D245" i="5"/>
  <c r="D244" i="5"/>
  <c r="D243" i="5"/>
  <c r="D242" i="5"/>
  <c r="D241" i="5"/>
  <c r="D240" i="5"/>
  <c r="D239" i="5"/>
  <c r="D238" i="5"/>
  <c r="D237" i="5"/>
  <c r="D236" i="5"/>
  <c r="D235" i="5"/>
  <c r="D234" i="5"/>
  <c r="D233" i="5"/>
  <c r="D232" i="5"/>
  <c r="D231" i="5"/>
  <c r="D230" i="5"/>
  <c r="D229" i="5"/>
  <c r="D228" i="5"/>
  <c r="D227" i="5"/>
  <c r="D226" i="5"/>
  <c r="D225" i="5"/>
  <c r="D224" i="5"/>
  <c r="D223" i="5"/>
  <c r="D222" i="5"/>
  <c r="D221" i="5"/>
  <c r="D220" i="5"/>
  <c r="D219" i="5"/>
  <c r="D218" i="5"/>
  <c r="D217" i="5"/>
  <c r="D216" i="5"/>
  <c r="D215" i="5"/>
  <c r="D214" i="5"/>
  <c r="D213" i="5"/>
  <c r="D212" i="5"/>
  <c r="D211" i="5"/>
  <c r="D210" i="5"/>
  <c r="D209" i="5"/>
  <c r="D208" i="5"/>
  <c r="D207" i="5"/>
  <c r="D206" i="5"/>
  <c r="D205" i="5"/>
  <c r="D204" i="5"/>
  <c r="D203" i="5"/>
  <c r="D202" i="5"/>
  <c r="D201" i="5"/>
  <c r="D200" i="5"/>
  <c r="D199" i="5"/>
  <c r="D198" i="5"/>
  <c r="D197" i="5"/>
  <c r="D196" i="5"/>
  <c r="D195" i="5"/>
  <c r="D194" i="5"/>
  <c r="D193" i="5"/>
  <c r="D192" i="5"/>
  <c r="D191" i="5"/>
  <c r="D190" i="5"/>
  <c r="D189" i="5"/>
  <c r="D188" i="5"/>
  <c r="D187" i="5"/>
  <c r="D186" i="5"/>
  <c r="D185" i="5"/>
  <c r="D184" i="5"/>
  <c r="D183" i="5"/>
  <c r="D182" i="5"/>
  <c r="D181" i="5"/>
  <c r="D180" i="5"/>
  <c r="D179" i="5"/>
  <c r="D178" i="5"/>
  <c r="D177" i="5"/>
  <c r="D176" i="5"/>
  <c r="D175" i="5"/>
  <c r="D174" i="5"/>
  <c r="D173" i="5"/>
  <c r="D172" i="5"/>
  <c r="D171" i="5"/>
  <c r="D170" i="5"/>
  <c r="D169" i="5"/>
  <c r="D168" i="5"/>
  <c r="D167" i="5"/>
  <c r="D166" i="5"/>
  <c r="D165" i="5"/>
  <c r="D164" i="5"/>
  <c r="D163" i="5"/>
  <c r="D162" i="5"/>
  <c r="D161" i="5"/>
  <c r="D160" i="5"/>
  <c r="D159" i="5"/>
  <c r="D158" i="5"/>
  <c r="D157" i="5"/>
  <c r="D156" i="5"/>
  <c r="D155" i="5"/>
  <c r="D154" i="5"/>
  <c r="D153" i="5"/>
  <c r="D152" i="5"/>
  <c r="D151" i="5"/>
  <c r="D150" i="5"/>
  <c r="D149" i="5"/>
  <c r="D148" i="5"/>
  <c r="D147" i="5"/>
  <c r="D146" i="5"/>
  <c r="D145" i="5"/>
  <c r="D144" i="5"/>
  <c r="D143" i="5"/>
  <c r="D142" i="5"/>
  <c r="D141" i="5"/>
  <c r="D140" i="5"/>
  <c r="D139" i="5"/>
  <c r="D138" i="5"/>
  <c r="D137" i="5"/>
  <c r="D136" i="5"/>
  <c r="D135" i="5"/>
  <c r="D134" i="5"/>
  <c r="D133" i="5"/>
  <c r="D132" i="5"/>
  <c r="D131" i="5"/>
  <c r="D130" i="5"/>
  <c r="D129" i="5"/>
  <c r="D128" i="5"/>
  <c r="D127" i="5"/>
  <c r="D126" i="5"/>
  <c r="D125" i="5"/>
  <c r="D124" i="5"/>
  <c r="D123" i="5"/>
  <c r="D122" i="5"/>
  <c r="D121" i="5"/>
  <c r="D120" i="5"/>
  <c r="D119" i="5"/>
  <c r="D118" i="5"/>
  <c r="D117" i="5"/>
  <c r="D116" i="5"/>
  <c r="D115" i="5"/>
  <c r="D114" i="5"/>
  <c r="D113" i="5"/>
  <c r="D112" i="5"/>
  <c r="D111" i="5"/>
  <c r="D110" i="5"/>
  <c r="D109" i="5"/>
  <c r="D108" i="5"/>
  <c r="D107" i="5"/>
  <c r="D106" i="5"/>
  <c r="D105" i="5"/>
  <c r="D104" i="5"/>
  <c r="D103" i="5"/>
  <c r="D102" i="5"/>
  <c r="D101" i="5"/>
  <c r="D100" i="5"/>
  <c r="D99" i="5"/>
  <c r="D98" i="5"/>
  <c r="D97" i="5"/>
  <c r="D96" i="5"/>
  <c r="D95" i="5"/>
  <c r="D94" i="5"/>
  <c r="D93" i="5"/>
  <c r="D92" i="5"/>
  <c r="D91" i="5"/>
  <c r="D90" i="5"/>
  <c r="D89" i="5"/>
  <c r="D88" i="5"/>
  <c r="D87" i="5"/>
  <c r="D86" i="5"/>
  <c r="D85" i="5"/>
  <c r="D84" i="5"/>
  <c r="D83" i="5"/>
  <c r="D82" i="5"/>
  <c r="D81" i="5"/>
  <c r="D80" i="5"/>
  <c r="D79" i="5"/>
  <c r="D78" i="5"/>
  <c r="D77" i="5"/>
  <c r="D76" i="5"/>
  <c r="D75" i="5"/>
  <c r="D74" i="5"/>
  <c r="D73" i="5"/>
  <c r="D72" i="5"/>
  <c r="D71" i="5"/>
  <c r="D70" i="5"/>
  <c r="D69" i="5"/>
  <c r="D68" i="5"/>
  <c r="D67" i="5"/>
  <c r="D66" i="5"/>
  <c r="D65" i="5"/>
  <c r="D64" i="5"/>
  <c r="D63" i="5"/>
  <c r="D62" i="5"/>
  <c r="D61" i="5"/>
  <c r="D60" i="5"/>
  <c r="D59" i="5"/>
  <c r="D58" i="5"/>
  <c r="D57" i="5"/>
  <c r="D56" i="5"/>
  <c r="D55" i="5"/>
  <c r="D54" i="5"/>
  <c r="D53" i="5"/>
  <c r="D52" i="5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D26" i="5"/>
  <c r="D25" i="5"/>
  <c r="D24" i="5"/>
  <c r="D23" i="5"/>
  <c r="D22" i="5"/>
  <c r="D21" i="5"/>
  <c r="D20" i="5"/>
  <c r="D19" i="5"/>
  <c r="D18" i="5"/>
  <c r="D17" i="5"/>
  <c r="D16" i="5"/>
  <c r="D15" i="5"/>
  <c r="D14" i="5"/>
  <c r="D13" i="5"/>
  <c r="D12" i="5"/>
  <c r="D11" i="5"/>
  <c r="D10" i="5"/>
  <c r="R9" i="5"/>
  <c r="J102" i="5" l="1"/>
  <c r="J118" i="5"/>
  <c r="J134" i="5"/>
  <c r="J150" i="5"/>
  <c r="J166" i="5"/>
  <c r="J198" i="5"/>
  <c r="J214" i="5"/>
  <c r="J230" i="5"/>
  <c r="J246" i="5"/>
  <c r="J13" i="5"/>
  <c r="J266" i="5"/>
  <c r="J298" i="5"/>
  <c r="J47" i="5"/>
  <c r="J63" i="5"/>
  <c r="J31" i="5"/>
  <c r="J35" i="5"/>
  <c r="J39" i="5"/>
  <c r="J43" i="5"/>
  <c r="J51" i="5"/>
  <c r="J55" i="5"/>
  <c r="J59" i="5"/>
  <c r="J67" i="5"/>
  <c r="J71" i="5"/>
  <c r="J75" i="5"/>
  <c r="J83" i="5"/>
  <c r="J87" i="5"/>
  <c r="J91" i="5"/>
  <c r="J145" i="5"/>
  <c r="J161" i="5"/>
  <c r="J176" i="5"/>
  <c r="J188" i="5"/>
  <c r="J204" i="5"/>
  <c r="J216" i="5"/>
  <c r="J260" i="5"/>
  <c r="J288" i="5"/>
  <c r="J308" i="5"/>
  <c r="J32" i="5"/>
  <c r="J36" i="5"/>
  <c r="J40" i="5"/>
  <c r="J44" i="5"/>
  <c r="J48" i="5"/>
  <c r="J52" i="5"/>
  <c r="J56" i="5"/>
  <c r="J60" i="5"/>
  <c r="J64" i="5"/>
  <c r="J68" i="5"/>
  <c r="J72" i="5"/>
  <c r="J76" i="5"/>
  <c r="J80" i="5"/>
  <c r="J84" i="5"/>
  <c r="J88" i="5"/>
  <c r="J92" i="5"/>
  <c r="J96" i="5"/>
  <c r="J100" i="5"/>
  <c r="J104" i="5"/>
  <c r="J108" i="5"/>
  <c r="J112" i="5"/>
  <c r="J116" i="5"/>
  <c r="J120" i="5"/>
  <c r="J124" i="5"/>
  <c r="J128" i="5"/>
  <c r="J132" i="5"/>
  <c r="J136" i="5"/>
  <c r="J140" i="5"/>
  <c r="J144" i="5"/>
  <c r="J148" i="5"/>
  <c r="J152" i="5"/>
  <c r="J156" i="5"/>
  <c r="J160" i="5"/>
  <c r="J164" i="5"/>
  <c r="J168" i="5"/>
  <c r="J172" i="5"/>
  <c r="J180" i="5"/>
  <c r="J184" i="5"/>
  <c r="J192" i="5"/>
  <c r="J196" i="5"/>
  <c r="J200" i="5"/>
  <c r="J208" i="5"/>
  <c r="J212" i="5"/>
  <c r="J220" i="5"/>
  <c r="J224" i="5"/>
  <c r="J228" i="5"/>
  <c r="J232" i="5"/>
  <c r="J236" i="5"/>
  <c r="J240" i="5"/>
  <c r="J244" i="5"/>
  <c r="J248" i="5"/>
  <c r="J252" i="5"/>
  <c r="J256" i="5"/>
  <c r="J264" i="5"/>
  <c r="J268" i="5"/>
  <c r="J276" i="5"/>
  <c r="J280" i="5"/>
  <c r="J284" i="5"/>
  <c r="J292" i="5"/>
  <c r="J296" i="5"/>
  <c r="J300" i="5"/>
  <c r="J304" i="5"/>
  <c r="J97" i="5"/>
  <c r="J113" i="5"/>
  <c r="J129" i="5"/>
  <c r="J177" i="5"/>
  <c r="J193" i="5"/>
  <c r="J209" i="5"/>
  <c r="J225" i="5"/>
  <c r="J241" i="5"/>
  <c r="J257" i="5"/>
  <c r="J277" i="5"/>
  <c r="J309" i="5"/>
  <c r="G33" i="4"/>
  <c r="K33" i="4" s="1"/>
  <c r="G45" i="4"/>
  <c r="G47" i="4" s="1"/>
  <c r="F63" i="1" s="1"/>
  <c r="F138" i="4"/>
  <c r="H138" i="4" s="1"/>
  <c r="F156" i="4"/>
  <c r="F160" i="4"/>
  <c r="H160" i="4" s="1"/>
  <c r="F113" i="4"/>
  <c r="F118" i="4"/>
  <c r="F122" i="4"/>
  <c r="F127" i="4"/>
  <c r="F131" i="4"/>
  <c r="H131" i="4" s="1"/>
  <c r="F135" i="4"/>
  <c r="H135" i="4" s="1"/>
  <c r="F149" i="4"/>
  <c r="F116" i="4"/>
  <c r="F120" i="4"/>
  <c r="H120" i="4" s="1"/>
  <c r="F125" i="4"/>
  <c r="F129" i="4"/>
  <c r="H129" i="4" s="1"/>
  <c r="F133" i="4"/>
  <c r="F137" i="4"/>
  <c r="H137" i="4" s="1"/>
  <c r="F141" i="4"/>
  <c r="H141" i="4" s="1"/>
  <c r="F152" i="4"/>
  <c r="F158" i="4"/>
  <c r="G163" i="4"/>
  <c r="F112" i="4"/>
  <c r="F117" i="4"/>
  <c r="F121" i="4"/>
  <c r="F126" i="4"/>
  <c r="F130" i="4"/>
  <c r="F134" i="4"/>
  <c r="H139" i="4"/>
  <c r="F148" i="4"/>
  <c r="F153" i="4"/>
  <c r="F159" i="4"/>
  <c r="H127" i="4"/>
  <c r="G143" i="4"/>
  <c r="F114" i="4"/>
  <c r="F119" i="4"/>
  <c r="F124" i="4"/>
  <c r="F128" i="4"/>
  <c r="F132" i="4"/>
  <c r="F136" i="4"/>
  <c r="F140" i="4"/>
  <c r="F151" i="4"/>
  <c r="F157" i="4"/>
  <c r="F161" i="4"/>
  <c r="J25" i="5"/>
  <c r="J29" i="5"/>
  <c r="J33" i="5"/>
  <c r="J37" i="5"/>
  <c r="J41" i="5"/>
  <c r="J45" i="5"/>
  <c r="J49" i="5"/>
  <c r="J53" i="5"/>
  <c r="J57" i="5"/>
  <c r="J61" i="5"/>
  <c r="J65" i="5"/>
  <c r="J69" i="5"/>
  <c r="J73" i="5"/>
  <c r="J12" i="5"/>
  <c r="J95" i="5"/>
  <c r="J99" i="5"/>
  <c r="J103" i="5"/>
  <c r="J107" i="5"/>
  <c r="J111" i="5"/>
  <c r="J115" i="5"/>
  <c r="J119" i="5"/>
  <c r="J123" i="5"/>
  <c r="J127" i="5"/>
  <c r="J131" i="5"/>
  <c r="J135" i="5"/>
  <c r="J139" i="5"/>
  <c r="J143" i="5"/>
  <c r="J147" i="5"/>
  <c r="J151" i="5"/>
  <c r="J155" i="5"/>
  <c r="J159" i="5"/>
  <c r="J163" i="5"/>
  <c r="J167" i="5"/>
  <c r="J171" i="5"/>
  <c r="J175" i="5"/>
  <c r="J179" i="5"/>
  <c r="J183" i="5"/>
  <c r="J187" i="5"/>
  <c r="J191" i="5"/>
  <c r="J195" i="5"/>
  <c r="J199" i="5"/>
  <c r="J203" i="5"/>
  <c r="J207" i="5"/>
  <c r="J211" i="5"/>
  <c r="J215" i="5"/>
  <c r="J219" i="5"/>
  <c r="J223" i="5"/>
  <c r="J227" i="5"/>
  <c r="J231" i="5"/>
  <c r="J235" i="5"/>
  <c r="J239" i="5"/>
  <c r="J243" i="5"/>
  <c r="J247" i="5"/>
  <c r="J251" i="5"/>
  <c r="J255" i="5"/>
  <c r="J259" i="5"/>
  <c r="J263" i="5"/>
  <c r="J267" i="5"/>
  <c r="J271" i="5"/>
  <c r="J275" i="5"/>
  <c r="J279" i="5"/>
  <c r="J283" i="5"/>
  <c r="J287" i="5"/>
  <c r="J291" i="5"/>
  <c r="J295" i="5"/>
  <c r="J299" i="5"/>
  <c r="J303" i="5"/>
  <c r="J307" i="5"/>
  <c r="F33" i="4"/>
  <c r="U35" i="4"/>
  <c r="F45" i="4"/>
  <c r="U47" i="4"/>
  <c r="J77" i="5"/>
  <c r="J81" i="5"/>
  <c r="J85" i="5"/>
  <c r="J89" i="5"/>
  <c r="J93" i="5"/>
  <c r="J101" i="5"/>
  <c r="J105" i="5"/>
  <c r="J109" i="5"/>
  <c r="J117" i="5"/>
  <c r="J121" i="5"/>
  <c r="J125" i="5"/>
  <c r="J133" i="5"/>
  <c r="J137" i="5"/>
  <c r="J141" i="5"/>
  <c r="J149" i="5"/>
  <c r="J153" i="5"/>
  <c r="J157" i="5"/>
  <c r="J165" i="5"/>
  <c r="J169" i="5"/>
  <c r="J173" i="5"/>
  <c r="J181" i="5"/>
  <c r="J185" i="5"/>
  <c r="J189" i="5"/>
  <c r="J197" i="5"/>
  <c r="J201" i="5"/>
  <c r="J205" i="5"/>
  <c r="J213" i="5"/>
  <c r="J217" i="5"/>
  <c r="J221" i="5"/>
  <c r="J229" i="5"/>
  <c r="J233" i="5"/>
  <c r="J237" i="5"/>
  <c r="J245" i="5"/>
  <c r="J249" i="5"/>
  <c r="J253" i="5"/>
  <c r="J261" i="5"/>
  <c r="J265" i="5"/>
  <c r="J269" i="5"/>
  <c r="J273" i="5"/>
  <c r="J281" i="5"/>
  <c r="J285" i="5"/>
  <c r="J289" i="5"/>
  <c r="J293" i="5"/>
  <c r="J297" i="5"/>
  <c r="J301" i="5"/>
  <c r="J305" i="5"/>
  <c r="J106" i="5"/>
  <c r="J122" i="5"/>
  <c r="J138" i="5"/>
  <c r="J154" i="5"/>
  <c r="J170" i="5"/>
  <c r="J186" i="5"/>
  <c r="J202" i="5"/>
  <c r="J218" i="5"/>
  <c r="J234" i="5"/>
  <c r="J250" i="5"/>
  <c r="J262" i="5"/>
  <c r="J278" i="5"/>
  <c r="J282" i="5"/>
  <c r="J294" i="5"/>
  <c r="G9" i="5"/>
  <c r="O9" i="5"/>
  <c r="N143" i="4"/>
  <c r="M143" i="4"/>
  <c r="E9" i="5"/>
  <c r="J26" i="5"/>
  <c r="J30" i="5"/>
  <c r="J34" i="5"/>
  <c r="J38" i="5"/>
  <c r="J42" i="5"/>
  <c r="J46" i="5"/>
  <c r="J50" i="5"/>
  <c r="J54" i="5"/>
  <c r="J58" i="5"/>
  <c r="J62" i="5"/>
  <c r="J66" i="5"/>
  <c r="J70" i="5"/>
  <c r="J74" i="5"/>
  <c r="J78" i="5"/>
  <c r="J82" i="5"/>
  <c r="J86" i="5"/>
  <c r="J90" i="5"/>
  <c r="J94" i="5"/>
  <c r="J98" i="5"/>
  <c r="J110" i="5"/>
  <c r="J114" i="5"/>
  <c r="J126" i="5"/>
  <c r="J130" i="5"/>
  <c r="J142" i="5"/>
  <c r="J146" i="5"/>
  <c r="J158" i="5"/>
  <c r="J162" i="5"/>
  <c r="J174" i="5"/>
  <c r="J178" i="5"/>
  <c r="J190" i="5"/>
  <c r="J194" i="5"/>
  <c r="J206" i="5"/>
  <c r="J210" i="5"/>
  <c r="J222" i="5"/>
  <c r="J226" i="5"/>
  <c r="J238" i="5"/>
  <c r="J242" i="5"/>
  <c r="J254" i="5"/>
  <c r="J258" i="5"/>
  <c r="J270" i="5"/>
  <c r="J274" i="5"/>
  <c r="J286" i="5"/>
  <c r="J290" i="5"/>
  <c r="J302" i="5"/>
  <c r="J306" i="5"/>
  <c r="F5" i="5"/>
  <c r="F4" i="5"/>
  <c r="M27" i="4"/>
  <c r="F27" i="4" s="1"/>
  <c r="S27" i="4"/>
  <c r="G27" i="4" s="1"/>
  <c r="F51" i="1" s="1"/>
  <c r="J14" i="5"/>
  <c r="K9" i="5"/>
  <c r="M9" i="5"/>
  <c r="L9" i="5"/>
  <c r="N9" i="5"/>
  <c r="H9" i="5"/>
  <c r="D9" i="5"/>
  <c r="F9" i="5"/>
  <c r="N3" i="5" l="1"/>
  <c r="L3" i="5"/>
  <c r="D3" i="5"/>
  <c r="F3" i="5"/>
  <c r="G35" i="4"/>
  <c r="J9" i="5"/>
  <c r="J3" i="5" s="1"/>
  <c r="K45" i="4"/>
  <c r="H27" i="4"/>
  <c r="E51" i="1"/>
  <c r="H152" i="4"/>
  <c r="H156" i="4"/>
  <c r="H118" i="4"/>
  <c r="H149" i="4"/>
  <c r="H122" i="4"/>
  <c r="H125" i="4"/>
  <c r="H113" i="4"/>
  <c r="H158" i="4"/>
  <c r="H133" i="4"/>
  <c r="H116" i="4"/>
  <c r="H157" i="4"/>
  <c r="H132" i="4"/>
  <c r="H114" i="4"/>
  <c r="H126" i="4"/>
  <c r="H151" i="4"/>
  <c r="H128" i="4"/>
  <c r="H159" i="4"/>
  <c r="H121" i="4"/>
  <c r="H140" i="4"/>
  <c r="H124" i="4"/>
  <c r="H153" i="4"/>
  <c r="H134" i="4"/>
  <c r="H117" i="4"/>
  <c r="H161" i="4"/>
  <c r="H136" i="4"/>
  <c r="H119" i="4"/>
  <c r="H148" i="4"/>
  <c r="H130" i="4"/>
  <c r="H112" i="4"/>
  <c r="F143" i="4"/>
  <c r="J33" i="4"/>
  <c r="L33" i="4" s="1"/>
  <c r="F35" i="4"/>
  <c r="E63" i="1" s="1"/>
  <c r="H33" i="4"/>
  <c r="F47" i="4"/>
  <c r="J45" i="4"/>
  <c r="H45" i="4"/>
  <c r="C46" i="4"/>
  <c r="C47" i="4" s="1"/>
  <c r="B46" i="4"/>
  <c r="B47" i="4" s="1"/>
  <c r="E60" i="1" s="1"/>
  <c r="C34" i="4"/>
  <c r="B34" i="4"/>
  <c r="B35" i="4" s="1"/>
  <c r="D45" i="4"/>
  <c r="D33" i="4"/>
  <c r="D76" i="7"/>
  <c r="E76" i="7" l="1"/>
  <c r="C76" i="7"/>
  <c r="K47" i="4"/>
  <c r="F60" i="1"/>
  <c r="L45" i="4"/>
  <c r="H143" i="4"/>
  <c r="H47" i="4"/>
  <c r="J47" i="4"/>
  <c r="H35" i="4"/>
  <c r="J35" i="4"/>
  <c r="D34" i="4"/>
  <c r="C35" i="4"/>
  <c r="D46" i="4"/>
  <c r="D47" i="4"/>
  <c r="L47" i="4" l="1"/>
  <c r="D35" i="4"/>
  <c r="K35" i="4"/>
  <c r="L35" i="4" s="1"/>
  <c r="E73" i="9"/>
  <c r="F73" i="9" s="1"/>
  <c r="E72" i="9"/>
  <c r="F72" i="9" s="1"/>
  <c r="E71" i="9"/>
  <c r="F71" i="9" s="1"/>
  <c r="E70" i="9"/>
  <c r="F70" i="9" s="1"/>
  <c r="E69" i="9"/>
  <c r="F69" i="9" s="1"/>
  <c r="E68" i="9"/>
  <c r="F68" i="9" s="1"/>
  <c r="E67" i="9"/>
  <c r="F67" i="9" s="1"/>
  <c r="E65" i="9"/>
  <c r="F65" i="9" s="1"/>
  <c r="E64" i="9"/>
  <c r="F64" i="9" s="1"/>
  <c r="E63" i="9"/>
  <c r="F63" i="9" s="1"/>
  <c r="E61" i="9"/>
  <c r="F61" i="9" s="1"/>
  <c r="E60" i="9"/>
  <c r="F60" i="9" s="1"/>
  <c r="E37" i="9"/>
  <c r="F37" i="9" s="1"/>
  <c r="E36" i="9"/>
  <c r="F36" i="9" s="1"/>
  <c r="E35" i="9"/>
  <c r="F35" i="9" s="1"/>
  <c r="E34" i="9"/>
  <c r="F34" i="9" s="1"/>
  <c r="E33" i="9"/>
  <c r="F33" i="9" s="1"/>
  <c r="H33" i="9" s="1"/>
  <c r="K33" i="9" s="1"/>
  <c r="E32" i="9"/>
  <c r="F32" i="9" s="1"/>
  <c r="H32" i="9" s="1"/>
  <c r="K32" i="9" s="1"/>
  <c r="E31" i="9"/>
  <c r="F31" i="9" s="1"/>
  <c r="E30" i="9"/>
  <c r="F30" i="9" s="1"/>
  <c r="E29" i="9"/>
  <c r="F29" i="9" s="1"/>
  <c r="E28" i="9"/>
  <c r="F28" i="9" s="1"/>
  <c r="E27" i="9"/>
  <c r="F27" i="9" s="1"/>
  <c r="E26" i="9"/>
  <c r="F26" i="9" s="1"/>
  <c r="G26" i="9" s="1"/>
  <c r="J26" i="9" s="1"/>
  <c r="E25" i="9"/>
  <c r="F25" i="9" s="1"/>
  <c r="E24" i="9"/>
  <c r="F24" i="9" s="1"/>
  <c r="E23" i="9"/>
  <c r="F23" i="9" s="1"/>
  <c r="E22" i="9"/>
  <c r="F22" i="9" s="1"/>
  <c r="H22" i="9" s="1"/>
  <c r="K22" i="9" s="1"/>
  <c r="E21" i="9"/>
  <c r="F21" i="9" s="1"/>
  <c r="H21" i="9" s="1"/>
  <c r="K21" i="9" s="1"/>
  <c r="E20" i="9"/>
  <c r="F20" i="9" s="1"/>
  <c r="E18" i="9"/>
  <c r="F18" i="9" s="1"/>
  <c r="E17" i="9"/>
  <c r="F17" i="9" s="1"/>
  <c r="E16" i="9"/>
  <c r="F16" i="9" s="1"/>
  <c r="E15" i="9"/>
  <c r="F15" i="9" s="1"/>
  <c r="E14" i="9"/>
  <c r="F14" i="9" s="1"/>
  <c r="E13" i="9"/>
  <c r="F13" i="9" s="1"/>
  <c r="E12" i="9"/>
  <c r="F12" i="9" s="1"/>
  <c r="E10" i="9"/>
  <c r="F10" i="9" s="1"/>
  <c r="E9" i="9"/>
  <c r="F9" i="9" s="1"/>
  <c r="E8" i="9"/>
  <c r="F8" i="9" s="1"/>
  <c r="G8" i="9" s="1"/>
  <c r="H37" i="9" l="1"/>
  <c r="K37" i="9" s="1"/>
  <c r="G37" i="9"/>
  <c r="J37" i="9" s="1"/>
  <c r="H18" i="9"/>
  <c r="K18" i="9" s="1"/>
  <c r="G18" i="9"/>
  <c r="J18" i="9" s="1"/>
  <c r="H23" i="9"/>
  <c r="K23" i="9" s="1"/>
  <c r="G23" i="9"/>
  <c r="J23" i="9" s="1"/>
  <c r="H31" i="9"/>
  <c r="K31" i="9" s="1"/>
  <c r="G31" i="9"/>
  <c r="J31" i="9" s="1"/>
  <c r="G36" i="9"/>
  <c r="J36" i="9" s="1"/>
  <c r="H36" i="9"/>
  <c r="K36" i="9" s="1"/>
  <c r="H34" i="9"/>
  <c r="K34" i="9" s="1"/>
  <c r="G34" i="9"/>
  <c r="J34" i="9" s="1"/>
  <c r="G33" i="9"/>
  <c r="J33" i="9" s="1"/>
  <c r="G32" i="9"/>
  <c r="J32" i="9" s="1"/>
  <c r="G30" i="9"/>
  <c r="J30" i="9" s="1"/>
  <c r="H30" i="9"/>
  <c r="K30" i="9" s="1"/>
  <c r="H29" i="9"/>
  <c r="K29" i="9" s="1"/>
  <c r="G29" i="9"/>
  <c r="J29" i="9" s="1"/>
  <c r="G28" i="9"/>
  <c r="J28" i="9" s="1"/>
  <c r="H28" i="9"/>
  <c r="K28" i="9" s="1"/>
  <c r="G27" i="9"/>
  <c r="J27" i="9" s="1"/>
  <c r="H27" i="9"/>
  <c r="K27" i="9" s="1"/>
  <c r="H26" i="9"/>
  <c r="K26" i="9" s="1"/>
  <c r="H25" i="9"/>
  <c r="K25" i="9" s="1"/>
  <c r="G25" i="9"/>
  <c r="J25" i="9" s="1"/>
  <c r="G24" i="9"/>
  <c r="J24" i="9" s="1"/>
  <c r="H24" i="9"/>
  <c r="K24" i="9" s="1"/>
  <c r="G22" i="9"/>
  <c r="J22" i="9" s="1"/>
  <c r="G21" i="9"/>
  <c r="J21" i="9" s="1"/>
  <c r="G20" i="9"/>
  <c r="J20" i="9" s="1"/>
  <c r="H20" i="9"/>
  <c r="K20" i="9" s="1"/>
  <c r="H17" i="9"/>
  <c r="K17" i="9" s="1"/>
  <c r="G17" i="9"/>
  <c r="J17" i="9" s="1"/>
  <c r="H16" i="9"/>
  <c r="K16" i="9" s="1"/>
  <c r="G16" i="9"/>
  <c r="J16" i="9" s="1"/>
  <c r="G15" i="9"/>
  <c r="J15" i="9" s="1"/>
  <c r="H15" i="9"/>
  <c r="K15" i="9" s="1"/>
  <c r="H14" i="9"/>
  <c r="K14" i="9" s="1"/>
  <c r="G14" i="9"/>
  <c r="J14" i="9" s="1"/>
  <c r="G13" i="9"/>
  <c r="J13" i="9" s="1"/>
  <c r="H13" i="9"/>
  <c r="K13" i="9" s="1"/>
  <c r="H12" i="9"/>
  <c r="K12" i="9" s="1"/>
  <c r="G12" i="9"/>
  <c r="J12" i="9" s="1"/>
  <c r="G10" i="9"/>
  <c r="J10" i="9" s="1"/>
  <c r="H10" i="9"/>
  <c r="K10" i="9" s="1"/>
  <c r="G9" i="9"/>
  <c r="J9" i="9" s="1"/>
  <c r="H9" i="9"/>
  <c r="K9" i="9" s="1"/>
  <c r="H8" i="9"/>
  <c r="C112" i="4" s="1"/>
  <c r="K112" i="4" s="1"/>
  <c r="H73" i="9"/>
  <c r="G73" i="9"/>
  <c r="H72" i="9"/>
  <c r="G72" i="9"/>
  <c r="G71" i="9"/>
  <c r="H71" i="9"/>
  <c r="H70" i="9"/>
  <c r="G70" i="9"/>
  <c r="H69" i="9"/>
  <c r="G69" i="9"/>
  <c r="H68" i="9"/>
  <c r="G68" i="9"/>
  <c r="H67" i="9"/>
  <c r="G67" i="9"/>
  <c r="H65" i="9"/>
  <c r="G65" i="9"/>
  <c r="H64" i="9"/>
  <c r="G64" i="9"/>
  <c r="H63" i="9"/>
  <c r="G63" i="9"/>
  <c r="G61" i="9"/>
  <c r="H61" i="9"/>
  <c r="F75" i="9"/>
  <c r="F78" i="9" s="1"/>
  <c r="H60" i="9"/>
  <c r="G60" i="9"/>
  <c r="F39" i="9"/>
  <c r="F42" i="9" s="1"/>
  <c r="H35" i="9"/>
  <c r="K35" i="9" s="1"/>
  <c r="G35" i="9"/>
  <c r="J35" i="9" s="1"/>
  <c r="D306" i="8"/>
  <c r="D305" i="8"/>
  <c r="D304" i="8"/>
  <c r="D303" i="8"/>
  <c r="D302" i="8"/>
  <c r="D301" i="8"/>
  <c r="D300" i="8"/>
  <c r="D299" i="8"/>
  <c r="D298" i="8"/>
  <c r="D297" i="8"/>
  <c r="D296" i="8"/>
  <c r="D295" i="8"/>
  <c r="D294" i="8"/>
  <c r="D293" i="8"/>
  <c r="D292" i="8"/>
  <c r="D291" i="8"/>
  <c r="D290" i="8"/>
  <c r="D289" i="8"/>
  <c r="D288" i="8"/>
  <c r="D287" i="8"/>
  <c r="D286" i="8"/>
  <c r="D285" i="8"/>
  <c r="D284" i="8"/>
  <c r="D283" i="8"/>
  <c r="D282" i="8"/>
  <c r="D281" i="8"/>
  <c r="D280" i="8"/>
  <c r="D279" i="8"/>
  <c r="D278" i="8"/>
  <c r="D277" i="8"/>
  <c r="D276" i="8"/>
  <c r="D275" i="8"/>
  <c r="D274" i="8"/>
  <c r="D273" i="8"/>
  <c r="D272" i="8"/>
  <c r="D271" i="8"/>
  <c r="D270" i="8"/>
  <c r="D269" i="8"/>
  <c r="D268" i="8"/>
  <c r="D267" i="8"/>
  <c r="D266" i="8"/>
  <c r="D265" i="8"/>
  <c r="D264" i="8"/>
  <c r="D263" i="8"/>
  <c r="D262" i="8"/>
  <c r="D261" i="8"/>
  <c r="D260" i="8"/>
  <c r="D259" i="8"/>
  <c r="D258" i="8"/>
  <c r="D257" i="8"/>
  <c r="D256" i="8"/>
  <c r="D255" i="8"/>
  <c r="D254" i="8"/>
  <c r="D253" i="8"/>
  <c r="D252" i="8"/>
  <c r="D251" i="8"/>
  <c r="D250" i="8"/>
  <c r="D249" i="8"/>
  <c r="D248" i="8"/>
  <c r="D247" i="8"/>
  <c r="D246" i="8"/>
  <c r="D245" i="8"/>
  <c r="D244" i="8"/>
  <c r="D243" i="8"/>
  <c r="D242" i="8"/>
  <c r="D241" i="8"/>
  <c r="D240" i="8"/>
  <c r="D239" i="8"/>
  <c r="D238" i="8"/>
  <c r="D237" i="8"/>
  <c r="D236" i="8"/>
  <c r="D235" i="8"/>
  <c r="D234" i="8"/>
  <c r="D233" i="8"/>
  <c r="D232" i="8"/>
  <c r="D231" i="8"/>
  <c r="D230" i="8"/>
  <c r="D229" i="8"/>
  <c r="D228" i="8"/>
  <c r="D227" i="8"/>
  <c r="D226" i="8"/>
  <c r="D225" i="8"/>
  <c r="D224" i="8"/>
  <c r="D223" i="8"/>
  <c r="D222" i="8"/>
  <c r="D221" i="8"/>
  <c r="D220" i="8"/>
  <c r="D219" i="8"/>
  <c r="D218" i="8"/>
  <c r="D217" i="8"/>
  <c r="D216" i="8"/>
  <c r="D215" i="8"/>
  <c r="D214" i="8"/>
  <c r="D213" i="8"/>
  <c r="D212" i="8"/>
  <c r="D211" i="8"/>
  <c r="D210" i="8"/>
  <c r="D209" i="8"/>
  <c r="D208" i="8"/>
  <c r="D207" i="8"/>
  <c r="D206" i="8"/>
  <c r="D205" i="8"/>
  <c r="D204" i="8"/>
  <c r="D203" i="8"/>
  <c r="D202" i="8"/>
  <c r="D201" i="8"/>
  <c r="D200" i="8"/>
  <c r="D199" i="8"/>
  <c r="D198" i="8"/>
  <c r="D197" i="8"/>
  <c r="D196" i="8"/>
  <c r="D195" i="8"/>
  <c r="D194" i="8"/>
  <c r="D193" i="8"/>
  <c r="D192" i="8"/>
  <c r="D191" i="8"/>
  <c r="D190" i="8"/>
  <c r="D189" i="8"/>
  <c r="D188" i="8"/>
  <c r="D187" i="8"/>
  <c r="D186" i="8"/>
  <c r="D185" i="8"/>
  <c r="D184" i="8"/>
  <c r="D183" i="8"/>
  <c r="D182" i="8"/>
  <c r="D181" i="8"/>
  <c r="D180" i="8"/>
  <c r="D179" i="8"/>
  <c r="D178" i="8"/>
  <c r="D177" i="8"/>
  <c r="D176" i="8"/>
  <c r="D175" i="8"/>
  <c r="D174" i="8"/>
  <c r="D173" i="8"/>
  <c r="D172" i="8"/>
  <c r="D171" i="8"/>
  <c r="D170" i="8"/>
  <c r="D169" i="8"/>
  <c r="D168" i="8"/>
  <c r="D167" i="8"/>
  <c r="D166" i="8"/>
  <c r="D165" i="8"/>
  <c r="D164" i="8"/>
  <c r="D163" i="8"/>
  <c r="D162" i="8"/>
  <c r="D161" i="8"/>
  <c r="D160" i="8"/>
  <c r="D159" i="8"/>
  <c r="D158" i="8"/>
  <c r="D157" i="8"/>
  <c r="D156" i="8"/>
  <c r="D155" i="8"/>
  <c r="D154" i="8"/>
  <c r="D153" i="8"/>
  <c r="D152" i="8"/>
  <c r="D151" i="8"/>
  <c r="D150" i="8"/>
  <c r="D149" i="8"/>
  <c r="D148" i="8"/>
  <c r="D147" i="8"/>
  <c r="D146" i="8"/>
  <c r="D145" i="8"/>
  <c r="D144" i="8"/>
  <c r="D143" i="8"/>
  <c r="D142" i="8"/>
  <c r="D141" i="8"/>
  <c r="D140" i="8"/>
  <c r="D139" i="8"/>
  <c r="D138" i="8"/>
  <c r="D137" i="8"/>
  <c r="D136" i="8"/>
  <c r="D135" i="8"/>
  <c r="D134" i="8"/>
  <c r="D133" i="8"/>
  <c r="D132" i="8"/>
  <c r="D131" i="8"/>
  <c r="D130" i="8"/>
  <c r="D129" i="8"/>
  <c r="D128" i="8"/>
  <c r="D127" i="8"/>
  <c r="D126" i="8"/>
  <c r="D125" i="8"/>
  <c r="D124" i="8"/>
  <c r="D123" i="8"/>
  <c r="D122" i="8"/>
  <c r="D121" i="8"/>
  <c r="D120" i="8"/>
  <c r="D119" i="8"/>
  <c r="D118" i="8"/>
  <c r="D117" i="8"/>
  <c r="D116" i="8"/>
  <c r="D115" i="8"/>
  <c r="D114" i="8"/>
  <c r="D113" i="8"/>
  <c r="D112" i="8"/>
  <c r="D111" i="8"/>
  <c r="D110" i="8"/>
  <c r="D109" i="8"/>
  <c r="D108" i="8"/>
  <c r="D107" i="8"/>
  <c r="D106" i="8"/>
  <c r="D105" i="8"/>
  <c r="D104" i="8"/>
  <c r="D103" i="8"/>
  <c r="D102" i="8"/>
  <c r="D101" i="8"/>
  <c r="D100" i="8"/>
  <c r="D99" i="8"/>
  <c r="D98" i="8"/>
  <c r="D97" i="8"/>
  <c r="D96" i="8"/>
  <c r="D95" i="8"/>
  <c r="D94" i="8"/>
  <c r="D93" i="8"/>
  <c r="D92" i="8"/>
  <c r="D91" i="8"/>
  <c r="D90" i="8"/>
  <c r="D89" i="8"/>
  <c r="D88" i="8"/>
  <c r="D87" i="8"/>
  <c r="D86" i="8"/>
  <c r="D85" i="8"/>
  <c r="D84" i="8"/>
  <c r="D83" i="8"/>
  <c r="D82" i="8"/>
  <c r="D81" i="8"/>
  <c r="D80" i="8"/>
  <c r="D79" i="8"/>
  <c r="D78" i="8"/>
  <c r="D77" i="8"/>
  <c r="D76" i="8"/>
  <c r="D75" i="8"/>
  <c r="D74" i="8"/>
  <c r="D73" i="8"/>
  <c r="D72" i="8"/>
  <c r="D71" i="8"/>
  <c r="D70" i="8"/>
  <c r="D69" i="8"/>
  <c r="D68" i="8"/>
  <c r="D67" i="8"/>
  <c r="D66" i="8"/>
  <c r="D65" i="8"/>
  <c r="D64" i="8"/>
  <c r="D63" i="8"/>
  <c r="D62" i="8"/>
  <c r="D61" i="8"/>
  <c r="D60" i="8"/>
  <c r="D59" i="8"/>
  <c r="D58" i="8"/>
  <c r="D57" i="8"/>
  <c r="D56" i="8"/>
  <c r="D55" i="8"/>
  <c r="D54" i="8"/>
  <c r="D53" i="8"/>
  <c r="D52" i="8"/>
  <c r="D51" i="8"/>
  <c r="D50" i="8"/>
  <c r="D49" i="8"/>
  <c r="D48" i="8"/>
  <c r="D47" i="8"/>
  <c r="D46" i="8"/>
  <c r="D45" i="8"/>
  <c r="D44" i="8"/>
  <c r="D43" i="8"/>
  <c r="D42" i="8"/>
  <c r="D41" i="8"/>
  <c r="D40" i="8"/>
  <c r="D39" i="8"/>
  <c r="D38" i="8"/>
  <c r="D37" i="8"/>
  <c r="D36" i="8"/>
  <c r="D35" i="8"/>
  <c r="D34" i="8"/>
  <c r="D33" i="8"/>
  <c r="D32" i="8"/>
  <c r="D31" i="8"/>
  <c r="D30" i="8"/>
  <c r="D29" i="8"/>
  <c r="D28" i="8"/>
  <c r="D27" i="8"/>
  <c r="D26" i="8"/>
  <c r="D25" i="8"/>
  <c r="D24" i="8"/>
  <c r="D23" i="8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9" i="8"/>
  <c r="D8" i="8"/>
  <c r="D7" i="8"/>
  <c r="N306" i="8"/>
  <c r="N305" i="8"/>
  <c r="N304" i="8"/>
  <c r="N303" i="8"/>
  <c r="N302" i="8"/>
  <c r="N301" i="8"/>
  <c r="N300" i="8"/>
  <c r="N299" i="8"/>
  <c r="N298" i="8"/>
  <c r="N297" i="8"/>
  <c r="N296" i="8"/>
  <c r="N295" i="8"/>
  <c r="N294" i="8"/>
  <c r="N293" i="8"/>
  <c r="N292" i="8"/>
  <c r="N291" i="8"/>
  <c r="N290" i="8"/>
  <c r="N289" i="8"/>
  <c r="N288" i="8"/>
  <c r="N287" i="8"/>
  <c r="N286" i="8"/>
  <c r="N285" i="8"/>
  <c r="N284" i="8"/>
  <c r="N283" i="8"/>
  <c r="N282" i="8"/>
  <c r="N281" i="8"/>
  <c r="N280" i="8"/>
  <c r="N279" i="8"/>
  <c r="N278" i="8"/>
  <c r="N277" i="8"/>
  <c r="N276" i="8"/>
  <c r="N275" i="8"/>
  <c r="N274" i="8"/>
  <c r="N273" i="8"/>
  <c r="N272" i="8"/>
  <c r="N271" i="8"/>
  <c r="N270" i="8"/>
  <c r="N269" i="8"/>
  <c r="N268" i="8"/>
  <c r="N267" i="8"/>
  <c r="N266" i="8"/>
  <c r="N265" i="8"/>
  <c r="N264" i="8"/>
  <c r="N263" i="8"/>
  <c r="N262" i="8"/>
  <c r="N261" i="8"/>
  <c r="N260" i="8"/>
  <c r="N259" i="8"/>
  <c r="N258" i="8"/>
  <c r="N257" i="8"/>
  <c r="N256" i="8"/>
  <c r="N255" i="8"/>
  <c r="N254" i="8"/>
  <c r="N253" i="8"/>
  <c r="N252" i="8"/>
  <c r="N251" i="8"/>
  <c r="N250" i="8"/>
  <c r="N249" i="8"/>
  <c r="N248" i="8"/>
  <c r="N247" i="8"/>
  <c r="N246" i="8"/>
  <c r="N245" i="8"/>
  <c r="N244" i="8"/>
  <c r="N243" i="8"/>
  <c r="N242" i="8"/>
  <c r="N241" i="8"/>
  <c r="N240" i="8"/>
  <c r="N239" i="8"/>
  <c r="N238" i="8"/>
  <c r="N237" i="8"/>
  <c r="N236" i="8"/>
  <c r="N235" i="8"/>
  <c r="N234" i="8"/>
  <c r="N233" i="8"/>
  <c r="N232" i="8"/>
  <c r="N231" i="8"/>
  <c r="N230" i="8"/>
  <c r="N229" i="8"/>
  <c r="N228" i="8"/>
  <c r="N227" i="8"/>
  <c r="N226" i="8"/>
  <c r="N225" i="8"/>
  <c r="N224" i="8"/>
  <c r="N223" i="8"/>
  <c r="N222" i="8"/>
  <c r="N221" i="8"/>
  <c r="N220" i="8"/>
  <c r="N219" i="8"/>
  <c r="N218" i="8"/>
  <c r="N217" i="8"/>
  <c r="N216" i="8"/>
  <c r="N215" i="8"/>
  <c r="N214" i="8"/>
  <c r="N213" i="8"/>
  <c r="N212" i="8"/>
  <c r="N211" i="8"/>
  <c r="N210" i="8"/>
  <c r="N209" i="8"/>
  <c r="N208" i="8"/>
  <c r="N207" i="8"/>
  <c r="N206" i="8"/>
  <c r="N205" i="8"/>
  <c r="N204" i="8"/>
  <c r="N203" i="8"/>
  <c r="N202" i="8"/>
  <c r="N201" i="8"/>
  <c r="N200" i="8"/>
  <c r="N199" i="8"/>
  <c r="N198" i="8"/>
  <c r="N197" i="8"/>
  <c r="N196" i="8"/>
  <c r="N195" i="8"/>
  <c r="N194" i="8"/>
  <c r="N193" i="8"/>
  <c r="N192" i="8"/>
  <c r="N191" i="8"/>
  <c r="N190" i="8"/>
  <c r="N189" i="8"/>
  <c r="N188" i="8"/>
  <c r="N187" i="8"/>
  <c r="N186" i="8"/>
  <c r="N185" i="8"/>
  <c r="N184" i="8"/>
  <c r="N183" i="8"/>
  <c r="N182" i="8"/>
  <c r="N181" i="8"/>
  <c r="N180" i="8"/>
  <c r="N179" i="8"/>
  <c r="N178" i="8"/>
  <c r="N177" i="8"/>
  <c r="N176" i="8"/>
  <c r="N175" i="8"/>
  <c r="N174" i="8"/>
  <c r="N173" i="8"/>
  <c r="N172" i="8"/>
  <c r="N171" i="8"/>
  <c r="N170" i="8"/>
  <c r="N169" i="8"/>
  <c r="N168" i="8"/>
  <c r="N167" i="8"/>
  <c r="N166" i="8"/>
  <c r="N165" i="8"/>
  <c r="N164" i="8"/>
  <c r="N163" i="8"/>
  <c r="N162" i="8"/>
  <c r="N161" i="8"/>
  <c r="N160" i="8"/>
  <c r="N159" i="8"/>
  <c r="N158" i="8"/>
  <c r="N157" i="8"/>
  <c r="N156" i="8"/>
  <c r="N155" i="8"/>
  <c r="N154" i="8"/>
  <c r="N153" i="8"/>
  <c r="N152" i="8"/>
  <c r="N151" i="8"/>
  <c r="N150" i="8"/>
  <c r="N149" i="8"/>
  <c r="N148" i="8"/>
  <c r="N147" i="8"/>
  <c r="N146" i="8"/>
  <c r="N145" i="8"/>
  <c r="N144" i="8"/>
  <c r="N143" i="8"/>
  <c r="N142" i="8"/>
  <c r="N141" i="8"/>
  <c r="N140" i="8"/>
  <c r="N139" i="8"/>
  <c r="N138" i="8"/>
  <c r="N137" i="8"/>
  <c r="N136" i="8"/>
  <c r="N135" i="8"/>
  <c r="N134" i="8"/>
  <c r="N133" i="8"/>
  <c r="N132" i="8"/>
  <c r="N131" i="8"/>
  <c r="N130" i="8"/>
  <c r="N129" i="8"/>
  <c r="N128" i="8"/>
  <c r="N127" i="8"/>
  <c r="N126" i="8"/>
  <c r="N125" i="8"/>
  <c r="N124" i="8"/>
  <c r="N123" i="8"/>
  <c r="N122" i="8"/>
  <c r="N121" i="8"/>
  <c r="N120" i="8"/>
  <c r="N119" i="8"/>
  <c r="N118" i="8"/>
  <c r="N117" i="8"/>
  <c r="N116" i="8"/>
  <c r="N115" i="8"/>
  <c r="N114" i="8"/>
  <c r="N113" i="8"/>
  <c r="N112" i="8"/>
  <c r="N111" i="8"/>
  <c r="N110" i="8"/>
  <c r="N109" i="8"/>
  <c r="N108" i="8"/>
  <c r="N107" i="8"/>
  <c r="N106" i="8"/>
  <c r="N105" i="8"/>
  <c r="N104" i="8"/>
  <c r="N103" i="8"/>
  <c r="N102" i="8"/>
  <c r="N101" i="8"/>
  <c r="N100" i="8"/>
  <c r="N99" i="8"/>
  <c r="N98" i="8"/>
  <c r="N97" i="8"/>
  <c r="N96" i="8"/>
  <c r="N95" i="8"/>
  <c r="N94" i="8"/>
  <c r="N93" i="8"/>
  <c r="N92" i="8"/>
  <c r="N91" i="8"/>
  <c r="N90" i="8"/>
  <c r="N89" i="8"/>
  <c r="N88" i="8"/>
  <c r="N87" i="8"/>
  <c r="N86" i="8"/>
  <c r="N85" i="8"/>
  <c r="N84" i="8"/>
  <c r="N83" i="8"/>
  <c r="N82" i="8"/>
  <c r="N81" i="8"/>
  <c r="N80" i="8"/>
  <c r="N79" i="8"/>
  <c r="N78" i="8"/>
  <c r="N77" i="8"/>
  <c r="N76" i="8"/>
  <c r="N75" i="8"/>
  <c r="N74" i="8"/>
  <c r="N73" i="8"/>
  <c r="N72" i="8"/>
  <c r="N71" i="8"/>
  <c r="N70" i="8"/>
  <c r="N69" i="8"/>
  <c r="N68" i="8"/>
  <c r="N67" i="8"/>
  <c r="N66" i="8"/>
  <c r="N65" i="8"/>
  <c r="N64" i="8"/>
  <c r="N63" i="8"/>
  <c r="N62" i="8"/>
  <c r="N61" i="8"/>
  <c r="N60" i="8"/>
  <c r="N59" i="8"/>
  <c r="N58" i="8"/>
  <c r="N57" i="8"/>
  <c r="N56" i="8"/>
  <c r="N55" i="8"/>
  <c r="N54" i="8"/>
  <c r="N53" i="8"/>
  <c r="N52" i="8"/>
  <c r="N51" i="8"/>
  <c r="N50" i="8"/>
  <c r="N49" i="8"/>
  <c r="N48" i="8"/>
  <c r="N47" i="8"/>
  <c r="N46" i="8"/>
  <c r="N45" i="8"/>
  <c r="N44" i="8"/>
  <c r="N43" i="8"/>
  <c r="N42" i="8"/>
  <c r="N41" i="8"/>
  <c r="N40" i="8"/>
  <c r="N39" i="8"/>
  <c r="N38" i="8"/>
  <c r="N37" i="8"/>
  <c r="N36" i="8"/>
  <c r="N35" i="8"/>
  <c r="H306" i="8"/>
  <c r="H305" i="8"/>
  <c r="H304" i="8"/>
  <c r="H303" i="8"/>
  <c r="H302" i="8"/>
  <c r="H301" i="8"/>
  <c r="H300" i="8"/>
  <c r="H299" i="8"/>
  <c r="H298" i="8"/>
  <c r="H297" i="8"/>
  <c r="H296" i="8"/>
  <c r="H295" i="8"/>
  <c r="H294" i="8"/>
  <c r="H293" i="8"/>
  <c r="H292" i="8"/>
  <c r="H291" i="8"/>
  <c r="H290" i="8"/>
  <c r="H289" i="8"/>
  <c r="H288" i="8"/>
  <c r="H287" i="8"/>
  <c r="H286" i="8"/>
  <c r="H285" i="8"/>
  <c r="H284" i="8"/>
  <c r="H283" i="8"/>
  <c r="H282" i="8"/>
  <c r="H281" i="8"/>
  <c r="H280" i="8"/>
  <c r="H279" i="8"/>
  <c r="H278" i="8"/>
  <c r="H277" i="8"/>
  <c r="H276" i="8"/>
  <c r="H275" i="8"/>
  <c r="H274" i="8"/>
  <c r="H273" i="8"/>
  <c r="H272" i="8"/>
  <c r="H271" i="8"/>
  <c r="H270" i="8"/>
  <c r="H269" i="8"/>
  <c r="H268" i="8"/>
  <c r="H267" i="8"/>
  <c r="H266" i="8"/>
  <c r="H265" i="8"/>
  <c r="H264" i="8"/>
  <c r="H263" i="8"/>
  <c r="H262" i="8"/>
  <c r="H261" i="8"/>
  <c r="H260" i="8"/>
  <c r="H259" i="8"/>
  <c r="H258" i="8"/>
  <c r="H257" i="8"/>
  <c r="H256" i="8"/>
  <c r="H255" i="8"/>
  <c r="H254" i="8"/>
  <c r="H253" i="8"/>
  <c r="H252" i="8"/>
  <c r="H251" i="8"/>
  <c r="H250" i="8"/>
  <c r="H249" i="8"/>
  <c r="H248" i="8"/>
  <c r="H247" i="8"/>
  <c r="H246" i="8"/>
  <c r="H245" i="8"/>
  <c r="H244" i="8"/>
  <c r="H243" i="8"/>
  <c r="H242" i="8"/>
  <c r="H241" i="8"/>
  <c r="H240" i="8"/>
  <c r="H239" i="8"/>
  <c r="H238" i="8"/>
  <c r="H237" i="8"/>
  <c r="H236" i="8"/>
  <c r="H235" i="8"/>
  <c r="H234" i="8"/>
  <c r="H233" i="8"/>
  <c r="H232" i="8"/>
  <c r="H231" i="8"/>
  <c r="H230" i="8"/>
  <c r="H229" i="8"/>
  <c r="H228" i="8"/>
  <c r="H227" i="8"/>
  <c r="H226" i="8"/>
  <c r="H225" i="8"/>
  <c r="H224" i="8"/>
  <c r="H223" i="8"/>
  <c r="H222" i="8"/>
  <c r="H221" i="8"/>
  <c r="H220" i="8"/>
  <c r="H219" i="8"/>
  <c r="H218" i="8"/>
  <c r="H217" i="8"/>
  <c r="H216" i="8"/>
  <c r="H215" i="8"/>
  <c r="H214" i="8"/>
  <c r="H213" i="8"/>
  <c r="H212" i="8"/>
  <c r="H211" i="8"/>
  <c r="H210" i="8"/>
  <c r="H209" i="8"/>
  <c r="H208" i="8"/>
  <c r="H207" i="8"/>
  <c r="H206" i="8"/>
  <c r="H205" i="8"/>
  <c r="H204" i="8"/>
  <c r="H203" i="8"/>
  <c r="H202" i="8"/>
  <c r="H201" i="8"/>
  <c r="H200" i="8"/>
  <c r="H199" i="8"/>
  <c r="H198" i="8"/>
  <c r="H197" i="8"/>
  <c r="H196" i="8"/>
  <c r="H195" i="8"/>
  <c r="H194" i="8"/>
  <c r="H193" i="8"/>
  <c r="H192" i="8"/>
  <c r="H191" i="8"/>
  <c r="H190" i="8"/>
  <c r="H189" i="8"/>
  <c r="H188" i="8"/>
  <c r="H187" i="8"/>
  <c r="H186" i="8"/>
  <c r="H185" i="8"/>
  <c r="H184" i="8"/>
  <c r="H183" i="8"/>
  <c r="H182" i="8"/>
  <c r="H181" i="8"/>
  <c r="H180" i="8"/>
  <c r="H179" i="8"/>
  <c r="H178" i="8"/>
  <c r="H177" i="8"/>
  <c r="H176" i="8"/>
  <c r="H175" i="8"/>
  <c r="H174" i="8"/>
  <c r="H173" i="8"/>
  <c r="H172" i="8"/>
  <c r="H171" i="8"/>
  <c r="H170" i="8"/>
  <c r="H169" i="8"/>
  <c r="H168" i="8"/>
  <c r="H167" i="8"/>
  <c r="H166" i="8"/>
  <c r="H165" i="8"/>
  <c r="H164" i="8"/>
  <c r="H163" i="8"/>
  <c r="H162" i="8"/>
  <c r="H161" i="8"/>
  <c r="H160" i="8"/>
  <c r="H159" i="8"/>
  <c r="H158" i="8"/>
  <c r="H157" i="8"/>
  <c r="H156" i="8"/>
  <c r="H155" i="8"/>
  <c r="H154" i="8"/>
  <c r="H153" i="8"/>
  <c r="H152" i="8"/>
  <c r="H151" i="8"/>
  <c r="H150" i="8"/>
  <c r="H149" i="8"/>
  <c r="H148" i="8"/>
  <c r="H147" i="8"/>
  <c r="H146" i="8"/>
  <c r="H145" i="8"/>
  <c r="H144" i="8"/>
  <c r="H143" i="8"/>
  <c r="H142" i="8"/>
  <c r="H141" i="8"/>
  <c r="H140" i="8"/>
  <c r="H139" i="8"/>
  <c r="H138" i="8"/>
  <c r="H137" i="8"/>
  <c r="H136" i="8"/>
  <c r="H135" i="8"/>
  <c r="H134" i="8"/>
  <c r="H133" i="8"/>
  <c r="H132" i="8"/>
  <c r="H131" i="8"/>
  <c r="H130" i="8"/>
  <c r="H129" i="8"/>
  <c r="H128" i="8"/>
  <c r="H127" i="8"/>
  <c r="H126" i="8"/>
  <c r="H125" i="8"/>
  <c r="H124" i="8"/>
  <c r="H123" i="8"/>
  <c r="H122" i="8"/>
  <c r="H121" i="8"/>
  <c r="H120" i="8"/>
  <c r="H119" i="8"/>
  <c r="H118" i="8"/>
  <c r="H117" i="8"/>
  <c r="H116" i="8"/>
  <c r="H115" i="8"/>
  <c r="H114" i="8"/>
  <c r="H113" i="8"/>
  <c r="H112" i="8"/>
  <c r="H111" i="8"/>
  <c r="H110" i="8"/>
  <c r="H109" i="8"/>
  <c r="H108" i="8"/>
  <c r="H107" i="8"/>
  <c r="H106" i="8"/>
  <c r="H105" i="8"/>
  <c r="H104" i="8"/>
  <c r="H103" i="8"/>
  <c r="H102" i="8"/>
  <c r="H101" i="8"/>
  <c r="H100" i="8"/>
  <c r="H99" i="8"/>
  <c r="H98" i="8"/>
  <c r="H97" i="8"/>
  <c r="H96" i="8"/>
  <c r="H95" i="8"/>
  <c r="H94" i="8"/>
  <c r="H93" i="8"/>
  <c r="H92" i="8"/>
  <c r="H91" i="8"/>
  <c r="H90" i="8"/>
  <c r="H89" i="8"/>
  <c r="H88" i="8"/>
  <c r="H87" i="8"/>
  <c r="H86" i="8"/>
  <c r="H85" i="8"/>
  <c r="H84" i="8"/>
  <c r="H83" i="8"/>
  <c r="H82" i="8"/>
  <c r="H81" i="8"/>
  <c r="H80" i="8"/>
  <c r="H79" i="8"/>
  <c r="H78" i="8"/>
  <c r="H77" i="8"/>
  <c r="H76" i="8"/>
  <c r="H75" i="8"/>
  <c r="H74" i="8"/>
  <c r="H73" i="8"/>
  <c r="H72" i="8"/>
  <c r="H71" i="8"/>
  <c r="H70" i="8"/>
  <c r="H69" i="8"/>
  <c r="H68" i="8"/>
  <c r="H67" i="8"/>
  <c r="H66" i="8"/>
  <c r="H65" i="8"/>
  <c r="H64" i="8"/>
  <c r="H63" i="8"/>
  <c r="H62" i="8"/>
  <c r="H61" i="8"/>
  <c r="H60" i="8"/>
  <c r="H59" i="8"/>
  <c r="H58" i="8"/>
  <c r="H57" i="8"/>
  <c r="H56" i="8"/>
  <c r="H55" i="8"/>
  <c r="H54" i="8"/>
  <c r="H53" i="8"/>
  <c r="H52" i="8"/>
  <c r="H51" i="8"/>
  <c r="H50" i="8"/>
  <c r="H49" i="8"/>
  <c r="H48" i="8"/>
  <c r="H47" i="8"/>
  <c r="H46" i="8"/>
  <c r="H45" i="8"/>
  <c r="H44" i="8"/>
  <c r="H43" i="8"/>
  <c r="H42" i="8"/>
  <c r="H41" i="8"/>
  <c r="H40" i="8"/>
  <c r="H39" i="8"/>
  <c r="H38" i="8"/>
  <c r="H37" i="8"/>
  <c r="H36" i="8"/>
  <c r="H35" i="8"/>
  <c r="H34" i="8"/>
  <c r="B306" i="8"/>
  <c r="B305" i="8"/>
  <c r="B304" i="8"/>
  <c r="B303" i="8"/>
  <c r="B302" i="8"/>
  <c r="B301" i="8"/>
  <c r="B300" i="8"/>
  <c r="B299" i="8"/>
  <c r="B298" i="8"/>
  <c r="B297" i="8"/>
  <c r="B296" i="8"/>
  <c r="B295" i="8"/>
  <c r="B294" i="8"/>
  <c r="B293" i="8"/>
  <c r="B292" i="8"/>
  <c r="B291" i="8"/>
  <c r="B290" i="8"/>
  <c r="B289" i="8"/>
  <c r="B288" i="8"/>
  <c r="B287" i="8"/>
  <c r="B286" i="8"/>
  <c r="B285" i="8"/>
  <c r="B284" i="8"/>
  <c r="B283" i="8"/>
  <c r="B282" i="8"/>
  <c r="B281" i="8"/>
  <c r="B280" i="8"/>
  <c r="B279" i="8"/>
  <c r="B278" i="8"/>
  <c r="B277" i="8"/>
  <c r="B276" i="8"/>
  <c r="B275" i="8"/>
  <c r="B274" i="8"/>
  <c r="B273" i="8"/>
  <c r="B272" i="8"/>
  <c r="B271" i="8"/>
  <c r="B270" i="8"/>
  <c r="B269" i="8"/>
  <c r="B268" i="8"/>
  <c r="B267" i="8"/>
  <c r="B266" i="8"/>
  <c r="B265" i="8"/>
  <c r="B264" i="8"/>
  <c r="B263" i="8"/>
  <c r="B262" i="8"/>
  <c r="B261" i="8"/>
  <c r="B260" i="8"/>
  <c r="B259" i="8"/>
  <c r="B258" i="8"/>
  <c r="B257" i="8"/>
  <c r="B256" i="8"/>
  <c r="B255" i="8"/>
  <c r="B254" i="8"/>
  <c r="B253" i="8"/>
  <c r="B252" i="8"/>
  <c r="B251" i="8"/>
  <c r="B250" i="8"/>
  <c r="B249" i="8"/>
  <c r="B248" i="8"/>
  <c r="B247" i="8"/>
  <c r="B246" i="8"/>
  <c r="B245" i="8"/>
  <c r="B244" i="8"/>
  <c r="B243" i="8"/>
  <c r="B242" i="8"/>
  <c r="B241" i="8"/>
  <c r="B240" i="8"/>
  <c r="B239" i="8"/>
  <c r="B238" i="8"/>
  <c r="B237" i="8"/>
  <c r="B236" i="8"/>
  <c r="B235" i="8"/>
  <c r="B234" i="8"/>
  <c r="B233" i="8"/>
  <c r="B232" i="8"/>
  <c r="B231" i="8"/>
  <c r="B230" i="8"/>
  <c r="B229" i="8"/>
  <c r="B228" i="8"/>
  <c r="B227" i="8"/>
  <c r="B226" i="8"/>
  <c r="B225" i="8"/>
  <c r="B224" i="8"/>
  <c r="B223" i="8"/>
  <c r="B222" i="8"/>
  <c r="B221" i="8"/>
  <c r="B220" i="8"/>
  <c r="B219" i="8"/>
  <c r="B218" i="8"/>
  <c r="B217" i="8"/>
  <c r="B216" i="8"/>
  <c r="B215" i="8"/>
  <c r="B214" i="8"/>
  <c r="B213" i="8"/>
  <c r="B212" i="8"/>
  <c r="B211" i="8"/>
  <c r="B210" i="8"/>
  <c r="B209" i="8"/>
  <c r="B208" i="8"/>
  <c r="B207" i="8"/>
  <c r="B206" i="8"/>
  <c r="B205" i="8"/>
  <c r="B204" i="8"/>
  <c r="B203" i="8"/>
  <c r="B202" i="8"/>
  <c r="B201" i="8"/>
  <c r="B200" i="8"/>
  <c r="B199" i="8"/>
  <c r="B198" i="8"/>
  <c r="B197" i="8"/>
  <c r="B196" i="8"/>
  <c r="B195" i="8"/>
  <c r="B194" i="8"/>
  <c r="B193" i="8"/>
  <c r="B192" i="8"/>
  <c r="B191" i="8"/>
  <c r="B190" i="8"/>
  <c r="B189" i="8"/>
  <c r="B188" i="8"/>
  <c r="B187" i="8"/>
  <c r="B186" i="8"/>
  <c r="B185" i="8"/>
  <c r="B184" i="8"/>
  <c r="B183" i="8"/>
  <c r="B182" i="8"/>
  <c r="B181" i="8"/>
  <c r="B180" i="8"/>
  <c r="B179" i="8"/>
  <c r="B178" i="8"/>
  <c r="B177" i="8"/>
  <c r="B176" i="8"/>
  <c r="B175" i="8"/>
  <c r="B174" i="8"/>
  <c r="B173" i="8"/>
  <c r="B172" i="8"/>
  <c r="B171" i="8"/>
  <c r="B170" i="8"/>
  <c r="B169" i="8"/>
  <c r="B168" i="8"/>
  <c r="B167" i="8"/>
  <c r="B166" i="8"/>
  <c r="B165" i="8"/>
  <c r="B164" i="8"/>
  <c r="B163" i="8"/>
  <c r="B162" i="8"/>
  <c r="B161" i="8"/>
  <c r="B160" i="8"/>
  <c r="B159" i="8"/>
  <c r="B158" i="8"/>
  <c r="B157" i="8"/>
  <c r="B156" i="8"/>
  <c r="B155" i="8"/>
  <c r="B154" i="8"/>
  <c r="B153" i="8"/>
  <c r="B152" i="8"/>
  <c r="B151" i="8"/>
  <c r="B150" i="8"/>
  <c r="B149" i="8"/>
  <c r="B148" i="8"/>
  <c r="B147" i="8"/>
  <c r="B146" i="8"/>
  <c r="B145" i="8"/>
  <c r="B144" i="8"/>
  <c r="B143" i="8"/>
  <c r="B142" i="8"/>
  <c r="B141" i="8"/>
  <c r="B140" i="8"/>
  <c r="B139" i="8"/>
  <c r="B138" i="8"/>
  <c r="B137" i="8"/>
  <c r="B136" i="8"/>
  <c r="B135" i="8"/>
  <c r="B134" i="8"/>
  <c r="B133" i="8"/>
  <c r="B132" i="8"/>
  <c r="B131" i="8"/>
  <c r="B130" i="8"/>
  <c r="B129" i="8"/>
  <c r="B128" i="8"/>
  <c r="B127" i="8"/>
  <c r="B126" i="8"/>
  <c r="B125" i="8"/>
  <c r="B124" i="8"/>
  <c r="B123" i="8"/>
  <c r="B122" i="8"/>
  <c r="B121" i="8"/>
  <c r="B120" i="8"/>
  <c r="B119" i="8"/>
  <c r="B118" i="8"/>
  <c r="B117" i="8"/>
  <c r="B116" i="8"/>
  <c r="B115" i="8"/>
  <c r="B114" i="8"/>
  <c r="B113" i="8"/>
  <c r="B112" i="8"/>
  <c r="B111" i="8"/>
  <c r="B110" i="8"/>
  <c r="B109" i="8"/>
  <c r="B108" i="8"/>
  <c r="B107" i="8"/>
  <c r="B106" i="8"/>
  <c r="B105" i="8"/>
  <c r="B104" i="8"/>
  <c r="B103" i="8"/>
  <c r="B102" i="8"/>
  <c r="B101" i="8"/>
  <c r="B100" i="8"/>
  <c r="B99" i="8"/>
  <c r="B98" i="8"/>
  <c r="B97" i="8"/>
  <c r="B96" i="8"/>
  <c r="B95" i="8"/>
  <c r="B94" i="8"/>
  <c r="B93" i="8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77" i="8"/>
  <c r="B76" i="8"/>
  <c r="B75" i="8"/>
  <c r="B74" i="8"/>
  <c r="B73" i="8"/>
  <c r="B72" i="8"/>
  <c r="B71" i="8"/>
  <c r="B70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54" i="8"/>
  <c r="B53" i="8"/>
  <c r="B52" i="8"/>
  <c r="B51" i="8"/>
  <c r="B50" i="8"/>
  <c r="B49" i="8"/>
  <c r="B48" i="8"/>
  <c r="B47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31" i="8"/>
  <c r="B30" i="8"/>
  <c r="B29" i="8"/>
  <c r="B28" i="8"/>
  <c r="B27" i="8"/>
  <c r="B26" i="8"/>
  <c r="B25" i="8"/>
  <c r="B24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8" i="8"/>
  <c r="B7" i="8"/>
  <c r="B309" i="5"/>
  <c r="B308" i="5"/>
  <c r="B307" i="5"/>
  <c r="B306" i="5"/>
  <c r="B305" i="5"/>
  <c r="B304" i="5"/>
  <c r="B303" i="5"/>
  <c r="B302" i="5"/>
  <c r="B301" i="5"/>
  <c r="B300" i="5"/>
  <c r="B299" i="5"/>
  <c r="B298" i="5"/>
  <c r="B297" i="5"/>
  <c r="B296" i="5"/>
  <c r="B295" i="5"/>
  <c r="B294" i="5"/>
  <c r="B293" i="5"/>
  <c r="B292" i="5"/>
  <c r="B291" i="5"/>
  <c r="B290" i="5"/>
  <c r="B289" i="5"/>
  <c r="B288" i="5"/>
  <c r="B287" i="5"/>
  <c r="B286" i="5"/>
  <c r="B285" i="5"/>
  <c r="B284" i="5"/>
  <c r="B283" i="5"/>
  <c r="B282" i="5"/>
  <c r="B281" i="5"/>
  <c r="B280" i="5"/>
  <c r="B279" i="5"/>
  <c r="B278" i="5"/>
  <c r="B277" i="5"/>
  <c r="B276" i="5"/>
  <c r="B275" i="5"/>
  <c r="B274" i="5"/>
  <c r="B273" i="5"/>
  <c r="B272" i="5"/>
  <c r="B271" i="5"/>
  <c r="B270" i="5"/>
  <c r="B269" i="5"/>
  <c r="B268" i="5"/>
  <c r="B267" i="5"/>
  <c r="B266" i="5"/>
  <c r="B265" i="5"/>
  <c r="B264" i="5"/>
  <c r="B263" i="5"/>
  <c r="B262" i="5"/>
  <c r="B261" i="5"/>
  <c r="B260" i="5"/>
  <c r="B259" i="5"/>
  <c r="B258" i="5"/>
  <c r="B257" i="5"/>
  <c r="B256" i="5"/>
  <c r="B255" i="5"/>
  <c r="B254" i="5"/>
  <c r="B253" i="5"/>
  <c r="B252" i="5"/>
  <c r="B251" i="5"/>
  <c r="B250" i="5"/>
  <c r="B249" i="5"/>
  <c r="B248" i="5"/>
  <c r="B247" i="5"/>
  <c r="B246" i="5"/>
  <c r="B245" i="5"/>
  <c r="B244" i="5"/>
  <c r="B243" i="5"/>
  <c r="B242" i="5"/>
  <c r="B241" i="5"/>
  <c r="B240" i="5"/>
  <c r="B239" i="5"/>
  <c r="B238" i="5"/>
  <c r="B237" i="5"/>
  <c r="B236" i="5"/>
  <c r="B235" i="5"/>
  <c r="B234" i="5"/>
  <c r="B233" i="5"/>
  <c r="B232" i="5"/>
  <c r="B231" i="5"/>
  <c r="B230" i="5"/>
  <c r="B229" i="5"/>
  <c r="B228" i="5"/>
  <c r="B227" i="5"/>
  <c r="B226" i="5"/>
  <c r="B225" i="5"/>
  <c r="B224" i="5"/>
  <c r="B223" i="5"/>
  <c r="B222" i="5"/>
  <c r="B221" i="5"/>
  <c r="B220" i="5"/>
  <c r="B219" i="5"/>
  <c r="B218" i="5"/>
  <c r="B217" i="5"/>
  <c r="B216" i="5"/>
  <c r="B215" i="5"/>
  <c r="B214" i="5"/>
  <c r="B213" i="5"/>
  <c r="B212" i="5"/>
  <c r="B211" i="5"/>
  <c r="B210" i="5"/>
  <c r="B209" i="5"/>
  <c r="B208" i="5"/>
  <c r="B207" i="5"/>
  <c r="B206" i="5"/>
  <c r="B205" i="5"/>
  <c r="B204" i="5"/>
  <c r="B203" i="5"/>
  <c r="B202" i="5"/>
  <c r="B201" i="5"/>
  <c r="B200" i="5"/>
  <c r="B199" i="5"/>
  <c r="B198" i="5"/>
  <c r="B197" i="5"/>
  <c r="B196" i="5"/>
  <c r="B195" i="5"/>
  <c r="B194" i="5"/>
  <c r="B193" i="5"/>
  <c r="B192" i="5"/>
  <c r="B191" i="5"/>
  <c r="B190" i="5"/>
  <c r="B189" i="5"/>
  <c r="B188" i="5"/>
  <c r="B187" i="5"/>
  <c r="B186" i="5"/>
  <c r="B185" i="5"/>
  <c r="B184" i="5"/>
  <c r="B183" i="5"/>
  <c r="B182" i="5"/>
  <c r="B181" i="5"/>
  <c r="B180" i="5"/>
  <c r="B179" i="5"/>
  <c r="B178" i="5"/>
  <c r="B177" i="5"/>
  <c r="B176" i="5"/>
  <c r="B175" i="5"/>
  <c r="B174" i="5"/>
  <c r="B173" i="5"/>
  <c r="B172" i="5"/>
  <c r="B171" i="5"/>
  <c r="B170" i="5"/>
  <c r="B169" i="5"/>
  <c r="B168" i="5"/>
  <c r="B167" i="5"/>
  <c r="B166" i="5"/>
  <c r="B165" i="5"/>
  <c r="B164" i="5"/>
  <c r="B163" i="5"/>
  <c r="B162" i="5"/>
  <c r="B161" i="5"/>
  <c r="B160" i="5"/>
  <c r="B159" i="5"/>
  <c r="B158" i="5"/>
  <c r="B157" i="5"/>
  <c r="B156" i="5"/>
  <c r="B155" i="5"/>
  <c r="B154" i="5"/>
  <c r="B153" i="5"/>
  <c r="B152" i="5"/>
  <c r="B151" i="5"/>
  <c r="B150" i="5"/>
  <c r="B149" i="5"/>
  <c r="B148" i="5"/>
  <c r="B147" i="5"/>
  <c r="B146" i="5"/>
  <c r="B145" i="5"/>
  <c r="B144" i="5"/>
  <c r="B143" i="5"/>
  <c r="B142" i="5"/>
  <c r="B141" i="5"/>
  <c r="B140" i="5"/>
  <c r="B139" i="5"/>
  <c r="B138" i="5"/>
  <c r="B137" i="5"/>
  <c r="B136" i="5"/>
  <c r="B135" i="5"/>
  <c r="B134" i="5"/>
  <c r="B133" i="5"/>
  <c r="B132" i="5"/>
  <c r="B131" i="5"/>
  <c r="B130" i="5"/>
  <c r="B129" i="5"/>
  <c r="B128" i="5"/>
  <c r="B127" i="5"/>
  <c r="B126" i="5"/>
  <c r="B125" i="5"/>
  <c r="B124" i="5"/>
  <c r="B123" i="5"/>
  <c r="B122" i="5"/>
  <c r="B121" i="5"/>
  <c r="B120" i="5"/>
  <c r="B119" i="5"/>
  <c r="B118" i="5"/>
  <c r="B117" i="5"/>
  <c r="B116" i="5"/>
  <c r="B115" i="5"/>
  <c r="B114" i="5"/>
  <c r="B113" i="5"/>
  <c r="B112" i="5"/>
  <c r="B111" i="5"/>
  <c r="B110" i="5"/>
  <c r="B109" i="5"/>
  <c r="B108" i="5"/>
  <c r="B107" i="5"/>
  <c r="B106" i="5"/>
  <c r="B105" i="5"/>
  <c r="B104" i="5"/>
  <c r="B103" i="5"/>
  <c r="B102" i="5"/>
  <c r="B101" i="5"/>
  <c r="B100" i="5"/>
  <c r="B99" i="5"/>
  <c r="B98" i="5"/>
  <c r="B97" i="5"/>
  <c r="B96" i="5"/>
  <c r="B95" i="5"/>
  <c r="B94" i="5"/>
  <c r="B93" i="5"/>
  <c r="B92" i="5"/>
  <c r="B91" i="5"/>
  <c r="B90" i="5"/>
  <c r="B89" i="5"/>
  <c r="B88" i="5"/>
  <c r="B87" i="5"/>
  <c r="B86" i="5"/>
  <c r="B85" i="5"/>
  <c r="B84" i="5"/>
  <c r="B83" i="5"/>
  <c r="B82" i="5"/>
  <c r="B81" i="5"/>
  <c r="B80" i="5"/>
  <c r="B79" i="5"/>
  <c r="B78" i="5"/>
  <c r="B77" i="5"/>
  <c r="B76" i="5"/>
  <c r="B75" i="5"/>
  <c r="B74" i="5"/>
  <c r="B73" i="5"/>
  <c r="B72" i="5"/>
  <c r="B71" i="5"/>
  <c r="B70" i="5"/>
  <c r="B69" i="5"/>
  <c r="B68" i="5"/>
  <c r="B67" i="5"/>
  <c r="B66" i="5"/>
  <c r="B65" i="5"/>
  <c r="B64" i="5"/>
  <c r="B63" i="5"/>
  <c r="B62" i="5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B12" i="5"/>
  <c r="CI9" i="5"/>
  <c r="CH9" i="5"/>
  <c r="X28" i="4" s="1"/>
  <c r="CG9" i="5"/>
  <c r="X26" i="4" s="1"/>
  <c r="CC9" i="5"/>
  <c r="CB9" i="5"/>
  <c r="W28" i="4" s="1"/>
  <c r="CA9" i="5"/>
  <c r="W26" i="4" s="1"/>
  <c r="BW9" i="5"/>
  <c r="BV9" i="5"/>
  <c r="V28" i="4" s="1"/>
  <c r="BU9" i="5"/>
  <c r="V26" i="4" s="1"/>
  <c r="BQ9" i="5"/>
  <c r="BP9" i="5"/>
  <c r="U28" i="4" s="1"/>
  <c r="BO9" i="5"/>
  <c r="U26" i="4" s="1"/>
  <c r="BK9" i="5"/>
  <c r="BJ9" i="5"/>
  <c r="T28" i="4" s="1"/>
  <c r="BI9" i="5"/>
  <c r="T26" i="4" s="1"/>
  <c r="BE9" i="5"/>
  <c r="BD9" i="5"/>
  <c r="BC9" i="5"/>
  <c r="AY9" i="5"/>
  <c r="AX9" i="5"/>
  <c r="R28" i="4" s="1"/>
  <c r="AW9" i="5"/>
  <c r="R26" i="4" s="1"/>
  <c r="AS9" i="5"/>
  <c r="AR9" i="5"/>
  <c r="Q28" i="4" s="1"/>
  <c r="AQ9" i="5"/>
  <c r="Q26" i="4" s="1"/>
  <c r="AM9" i="5"/>
  <c r="AL9" i="5"/>
  <c r="P28" i="4" s="1"/>
  <c r="AK9" i="5"/>
  <c r="P26" i="4" s="1"/>
  <c r="AG9" i="5"/>
  <c r="AF9" i="5"/>
  <c r="O28" i="4" s="1"/>
  <c r="AE9" i="5"/>
  <c r="O26" i="4" s="1"/>
  <c r="AA9" i="5"/>
  <c r="Z9" i="5"/>
  <c r="N28" i="4" s="1"/>
  <c r="Y9" i="5"/>
  <c r="N26" i="4" s="1"/>
  <c r="U9" i="5"/>
  <c r="T9" i="5"/>
  <c r="S9" i="5"/>
  <c r="A8" i="8"/>
  <c r="A9" i="8" s="1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6" i="8" s="1"/>
  <c r="A27" i="8" s="1"/>
  <c r="A28" i="8" s="1"/>
  <c r="A29" i="8" s="1"/>
  <c r="A30" i="8" s="1"/>
  <c r="A31" i="8" s="1"/>
  <c r="A32" i="8" s="1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A47" i="8" s="1"/>
  <c r="A48" i="8" s="1"/>
  <c r="A49" i="8" s="1"/>
  <c r="A50" i="8" s="1"/>
  <c r="A51" i="8" s="1"/>
  <c r="A52" i="8" s="1"/>
  <c r="A53" i="8" s="1"/>
  <c r="A54" i="8" s="1"/>
  <c r="A55" i="8" s="1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70" i="8" s="1"/>
  <c r="A71" i="8" s="1"/>
  <c r="A72" i="8" s="1"/>
  <c r="A73" i="8" s="1"/>
  <c r="A74" i="8" s="1"/>
  <c r="A75" i="8" s="1"/>
  <c r="A76" i="8" s="1"/>
  <c r="A77" i="8" s="1"/>
  <c r="A78" i="8" s="1"/>
  <c r="A79" i="8" s="1"/>
  <c r="A80" i="8" s="1"/>
  <c r="A81" i="8" s="1"/>
  <c r="A82" i="8" s="1"/>
  <c r="A83" i="8" s="1"/>
  <c r="A84" i="8" s="1"/>
  <c r="A85" i="8" s="1"/>
  <c r="A86" i="8" s="1"/>
  <c r="A87" i="8" s="1"/>
  <c r="A88" i="8" s="1"/>
  <c r="A89" i="8" s="1"/>
  <c r="A90" i="8" s="1"/>
  <c r="A91" i="8" s="1"/>
  <c r="A92" i="8" s="1"/>
  <c r="A93" i="8" s="1"/>
  <c r="A94" i="8" s="1"/>
  <c r="A95" i="8" s="1"/>
  <c r="A96" i="8" s="1"/>
  <c r="A97" i="8" s="1"/>
  <c r="A98" i="8" s="1"/>
  <c r="A99" i="8" s="1"/>
  <c r="A100" i="8" s="1"/>
  <c r="A101" i="8" s="1"/>
  <c r="A102" i="8" s="1"/>
  <c r="A103" i="8" s="1"/>
  <c r="A104" i="8" s="1"/>
  <c r="A105" i="8" s="1"/>
  <c r="A106" i="8" s="1"/>
  <c r="A107" i="8" s="1"/>
  <c r="A108" i="8" s="1"/>
  <c r="A109" i="8" s="1"/>
  <c r="A110" i="8" s="1"/>
  <c r="A111" i="8" s="1"/>
  <c r="A112" i="8" s="1"/>
  <c r="A113" i="8" s="1"/>
  <c r="A114" i="8" s="1"/>
  <c r="A115" i="8" s="1"/>
  <c r="A116" i="8" s="1"/>
  <c r="A117" i="8" s="1"/>
  <c r="A118" i="8" s="1"/>
  <c r="A119" i="8" s="1"/>
  <c r="A120" i="8" s="1"/>
  <c r="A121" i="8" s="1"/>
  <c r="A122" i="8" s="1"/>
  <c r="A123" i="8" s="1"/>
  <c r="A124" i="8" s="1"/>
  <c r="A125" i="8" s="1"/>
  <c r="A126" i="8" s="1"/>
  <c r="A127" i="8" s="1"/>
  <c r="A128" i="8" s="1"/>
  <c r="A129" i="8" s="1"/>
  <c r="A130" i="8" s="1"/>
  <c r="A131" i="8" s="1"/>
  <c r="A132" i="8" s="1"/>
  <c r="A133" i="8" s="1"/>
  <c r="A134" i="8" s="1"/>
  <c r="A135" i="8" s="1"/>
  <c r="A136" i="8" s="1"/>
  <c r="A137" i="8" s="1"/>
  <c r="A138" i="8" s="1"/>
  <c r="A139" i="8" s="1"/>
  <c r="A140" i="8" s="1"/>
  <c r="A141" i="8" s="1"/>
  <c r="A142" i="8" s="1"/>
  <c r="A143" i="8" s="1"/>
  <c r="A144" i="8" s="1"/>
  <c r="A145" i="8" s="1"/>
  <c r="A146" i="8" s="1"/>
  <c r="A147" i="8" s="1"/>
  <c r="A148" i="8" s="1"/>
  <c r="A149" i="8" s="1"/>
  <c r="A150" i="8" s="1"/>
  <c r="A151" i="8" s="1"/>
  <c r="A152" i="8" s="1"/>
  <c r="A153" i="8" s="1"/>
  <c r="A154" i="8" s="1"/>
  <c r="A155" i="8" s="1"/>
  <c r="A156" i="8" s="1"/>
  <c r="A157" i="8" s="1"/>
  <c r="A158" i="8" s="1"/>
  <c r="A159" i="8" s="1"/>
  <c r="A160" i="8" s="1"/>
  <c r="A161" i="8" s="1"/>
  <c r="A162" i="8" s="1"/>
  <c r="A163" i="8" s="1"/>
  <c r="A164" i="8" s="1"/>
  <c r="A165" i="8" s="1"/>
  <c r="A166" i="8" s="1"/>
  <c r="A167" i="8" s="1"/>
  <c r="A168" i="8" s="1"/>
  <c r="A169" i="8" s="1"/>
  <c r="A170" i="8" s="1"/>
  <c r="A171" i="8" s="1"/>
  <c r="A172" i="8" s="1"/>
  <c r="A173" i="8" s="1"/>
  <c r="A174" i="8" s="1"/>
  <c r="A175" i="8" s="1"/>
  <c r="A176" i="8" s="1"/>
  <c r="A177" i="8" s="1"/>
  <c r="A178" i="8" s="1"/>
  <c r="A179" i="8" s="1"/>
  <c r="A180" i="8" s="1"/>
  <c r="A181" i="8" s="1"/>
  <c r="A182" i="8" s="1"/>
  <c r="A183" i="8" s="1"/>
  <c r="A184" i="8" s="1"/>
  <c r="A185" i="8" s="1"/>
  <c r="A186" i="8" s="1"/>
  <c r="A187" i="8" s="1"/>
  <c r="A188" i="8" s="1"/>
  <c r="A189" i="8" s="1"/>
  <c r="A190" i="8" s="1"/>
  <c r="A191" i="8" s="1"/>
  <c r="A192" i="8" s="1"/>
  <c r="A193" i="8" s="1"/>
  <c r="A194" i="8" s="1"/>
  <c r="A195" i="8" s="1"/>
  <c r="A196" i="8" s="1"/>
  <c r="A197" i="8" s="1"/>
  <c r="A198" i="8" s="1"/>
  <c r="A199" i="8" s="1"/>
  <c r="A200" i="8" s="1"/>
  <c r="A201" i="8" s="1"/>
  <c r="A202" i="8" s="1"/>
  <c r="A203" i="8" s="1"/>
  <c r="A204" i="8" s="1"/>
  <c r="A205" i="8" s="1"/>
  <c r="A206" i="8" s="1"/>
  <c r="A207" i="8" s="1"/>
  <c r="A208" i="8" s="1"/>
  <c r="A209" i="8" s="1"/>
  <c r="A210" i="8" s="1"/>
  <c r="A211" i="8" s="1"/>
  <c r="A212" i="8" s="1"/>
  <c r="A213" i="8" s="1"/>
  <c r="A214" i="8" s="1"/>
  <c r="A215" i="8" s="1"/>
  <c r="A216" i="8" s="1"/>
  <c r="A217" i="8" s="1"/>
  <c r="A218" i="8" s="1"/>
  <c r="A219" i="8" s="1"/>
  <c r="A220" i="8" s="1"/>
  <c r="A221" i="8" s="1"/>
  <c r="A222" i="8" s="1"/>
  <c r="A223" i="8" s="1"/>
  <c r="A224" i="8" s="1"/>
  <c r="A225" i="8" s="1"/>
  <c r="A226" i="8" s="1"/>
  <c r="A227" i="8" s="1"/>
  <c r="A228" i="8" s="1"/>
  <c r="A229" i="8" s="1"/>
  <c r="A230" i="8" s="1"/>
  <c r="A231" i="8" s="1"/>
  <c r="A232" i="8" s="1"/>
  <c r="A233" i="8" s="1"/>
  <c r="A234" i="8" s="1"/>
  <c r="A235" i="8" s="1"/>
  <c r="A236" i="8" s="1"/>
  <c r="A237" i="8" s="1"/>
  <c r="A238" i="8" s="1"/>
  <c r="A239" i="8" s="1"/>
  <c r="A240" i="8" s="1"/>
  <c r="A241" i="8" s="1"/>
  <c r="A242" i="8" s="1"/>
  <c r="A243" i="8" s="1"/>
  <c r="A244" i="8" s="1"/>
  <c r="A245" i="8" s="1"/>
  <c r="A246" i="8" s="1"/>
  <c r="A247" i="8" s="1"/>
  <c r="A248" i="8" s="1"/>
  <c r="A249" i="8" s="1"/>
  <c r="A250" i="8" s="1"/>
  <c r="A251" i="8" s="1"/>
  <c r="A252" i="8" s="1"/>
  <c r="A253" i="8" s="1"/>
  <c r="A254" i="8" s="1"/>
  <c r="A255" i="8" s="1"/>
  <c r="A256" i="8" s="1"/>
  <c r="A257" i="8" s="1"/>
  <c r="A258" i="8" s="1"/>
  <c r="A259" i="8" s="1"/>
  <c r="A260" i="8" s="1"/>
  <c r="A261" i="8" s="1"/>
  <c r="A262" i="8" s="1"/>
  <c r="A263" i="8" s="1"/>
  <c r="A264" i="8" s="1"/>
  <c r="A265" i="8" s="1"/>
  <c r="A266" i="8" s="1"/>
  <c r="A267" i="8" s="1"/>
  <c r="A268" i="8" s="1"/>
  <c r="A269" i="8" s="1"/>
  <c r="A270" i="8" s="1"/>
  <c r="A271" i="8" s="1"/>
  <c r="A272" i="8" s="1"/>
  <c r="A273" i="8" s="1"/>
  <c r="A274" i="8" s="1"/>
  <c r="A275" i="8" s="1"/>
  <c r="A276" i="8" s="1"/>
  <c r="A277" i="8" s="1"/>
  <c r="A278" i="8" s="1"/>
  <c r="A279" i="8" s="1"/>
  <c r="A280" i="8" s="1"/>
  <c r="A281" i="8" s="1"/>
  <c r="A282" i="8" s="1"/>
  <c r="A283" i="8" s="1"/>
  <c r="A284" i="8" s="1"/>
  <c r="A285" i="8" s="1"/>
  <c r="A286" i="8" s="1"/>
  <c r="A287" i="8" s="1"/>
  <c r="A288" i="8" s="1"/>
  <c r="A289" i="8" s="1"/>
  <c r="A290" i="8" s="1"/>
  <c r="A291" i="8" s="1"/>
  <c r="A292" i="8" s="1"/>
  <c r="A293" i="8" s="1"/>
  <c r="A294" i="8" s="1"/>
  <c r="A295" i="8" s="1"/>
  <c r="A296" i="8" s="1"/>
  <c r="A297" i="8" s="1"/>
  <c r="A298" i="8" s="1"/>
  <c r="A299" i="8" s="1"/>
  <c r="A300" i="8" s="1"/>
  <c r="A301" i="8" s="1"/>
  <c r="A302" i="8" s="1"/>
  <c r="A303" i="8" s="1"/>
  <c r="A304" i="8" s="1"/>
  <c r="A305" i="8" s="1"/>
  <c r="A306" i="8" s="1"/>
  <c r="K7" i="8" l="1"/>
  <c r="E7" i="8"/>
  <c r="E15" i="8"/>
  <c r="K15" i="8"/>
  <c r="E23" i="8"/>
  <c r="K23" i="8"/>
  <c r="E31" i="8"/>
  <c r="K31" i="8"/>
  <c r="E39" i="8"/>
  <c r="K39" i="8"/>
  <c r="E47" i="8"/>
  <c r="K47" i="8"/>
  <c r="E55" i="8"/>
  <c r="K55" i="8"/>
  <c r="E63" i="8"/>
  <c r="K63" i="8"/>
  <c r="E71" i="8"/>
  <c r="K71" i="8"/>
  <c r="E79" i="8"/>
  <c r="K79" i="8"/>
  <c r="E87" i="8"/>
  <c r="K87" i="8"/>
  <c r="E95" i="8"/>
  <c r="K95" i="8"/>
  <c r="E103" i="8"/>
  <c r="K103" i="8"/>
  <c r="E111" i="8"/>
  <c r="K111" i="8"/>
  <c r="E119" i="8"/>
  <c r="K119" i="8"/>
  <c r="E127" i="8"/>
  <c r="K127" i="8"/>
  <c r="E135" i="8"/>
  <c r="K135" i="8"/>
  <c r="E143" i="8"/>
  <c r="K143" i="8"/>
  <c r="E151" i="8"/>
  <c r="K151" i="8"/>
  <c r="E159" i="8"/>
  <c r="K159" i="8"/>
  <c r="E167" i="8"/>
  <c r="K167" i="8"/>
  <c r="E175" i="8"/>
  <c r="K175" i="8"/>
  <c r="E183" i="8"/>
  <c r="K183" i="8"/>
  <c r="E191" i="8"/>
  <c r="K191" i="8"/>
  <c r="E199" i="8"/>
  <c r="K199" i="8"/>
  <c r="E207" i="8"/>
  <c r="K207" i="8"/>
  <c r="E215" i="8"/>
  <c r="K215" i="8"/>
  <c r="E223" i="8"/>
  <c r="K223" i="8"/>
  <c r="E231" i="8"/>
  <c r="K231" i="8"/>
  <c r="E239" i="8"/>
  <c r="K239" i="8"/>
  <c r="E247" i="8"/>
  <c r="K247" i="8"/>
  <c r="E255" i="8"/>
  <c r="K255" i="8"/>
  <c r="E263" i="8"/>
  <c r="K263" i="8"/>
  <c r="E271" i="8"/>
  <c r="K271" i="8"/>
  <c r="E279" i="8"/>
  <c r="K279" i="8"/>
  <c r="E287" i="8"/>
  <c r="K287" i="8"/>
  <c r="E295" i="8"/>
  <c r="K295" i="8"/>
  <c r="E303" i="8"/>
  <c r="K303" i="8"/>
  <c r="K8" i="8"/>
  <c r="E8" i="8"/>
  <c r="E16" i="8"/>
  <c r="K16" i="8"/>
  <c r="E24" i="8"/>
  <c r="K24" i="8"/>
  <c r="E32" i="8"/>
  <c r="K32" i="8"/>
  <c r="E40" i="8"/>
  <c r="K40" i="8"/>
  <c r="E48" i="8"/>
  <c r="K48" i="8"/>
  <c r="E56" i="8"/>
  <c r="K56" i="8"/>
  <c r="E64" i="8"/>
  <c r="K64" i="8"/>
  <c r="E72" i="8"/>
  <c r="K72" i="8"/>
  <c r="E80" i="8"/>
  <c r="K80" i="8"/>
  <c r="E88" i="8"/>
  <c r="K88" i="8"/>
  <c r="E96" i="8"/>
  <c r="K96" i="8"/>
  <c r="E104" i="8"/>
  <c r="K104" i="8"/>
  <c r="E112" i="8"/>
  <c r="K112" i="8"/>
  <c r="E120" i="8"/>
  <c r="K120" i="8"/>
  <c r="E128" i="8"/>
  <c r="K128" i="8"/>
  <c r="E136" i="8"/>
  <c r="K136" i="8"/>
  <c r="E144" i="8"/>
  <c r="K144" i="8"/>
  <c r="E152" i="8"/>
  <c r="K152" i="8"/>
  <c r="E160" i="8"/>
  <c r="K160" i="8"/>
  <c r="E168" i="8"/>
  <c r="K168" i="8"/>
  <c r="E176" i="8"/>
  <c r="K176" i="8"/>
  <c r="E184" i="8"/>
  <c r="K184" i="8"/>
  <c r="E192" i="8"/>
  <c r="K192" i="8"/>
  <c r="E200" i="8"/>
  <c r="K200" i="8"/>
  <c r="E208" i="8"/>
  <c r="K208" i="8"/>
  <c r="E216" i="8"/>
  <c r="K216" i="8"/>
  <c r="E224" i="8"/>
  <c r="K224" i="8"/>
  <c r="E232" i="8"/>
  <c r="K232" i="8"/>
  <c r="E240" i="8"/>
  <c r="K240" i="8"/>
  <c r="E248" i="8"/>
  <c r="K248" i="8"/>
  <c r="E256" i="8"/>
  <c r="K256" i="8"/>
  <c r="E264" i="8"/>
  <c r="K264" i="8"/>
  <c r="E272" i="8"/>
  <c r="K272" i="8"/>
  <c r="E280" i="8"/>
  <c r="K280" i="8"/>
  <c r="E288" i="8"/>
  <c r="K288" i="8"/>
  <c r="E296" i="8"/>
  <c r="K296" i="8"/>
  <c r="E304" i="8"/>
  <c r="K304" i="8"/>
  <c r="K9" i="8"/>
  <c r="E9" i="8"/>
  <c r="K17" i="8"/>
  <c r="E17" i="8"/>
  <c r="K25" i="8"/>
  <c r="E25" i="8"/>
  <c r="K33" i="8"/>
  <c r="E33" i="8"/>
  <c r="K41" i="8"/>
  <c r="E41" i="8"/>
  <c r="K49" i="8"/>
  <c r="E49" i="8"/>
  <c r="K57" i="8"/>
  <c r="E57" i="8"/>
  <c r="K65" i="8"/>
  <c r="E65" i="8"/>
  <c r="K73" i="8"/>
  <c r="E73" i="8"/>
  <c r="K81" i="8"/>
  <c r="E81" i="8"/>
  <c r="K89" i="8"/>
  <c r="E89" i="8"/>
  <c r="K97" i="8"/>
  <c r="E97" i="8"/>
  <c r="K105" i="8"/>
  <c r="E105" i="8"/>
  <c r="K113" i="8"/>
  <c r="E113" i="8"/>
  <c r="K121" i="8"/>
  <c r="E121" i="8"/>
  <c r="K129" i="8"/>
  <c r="E129" i="8"/>
  <c r="K137" i="8"/>
  <c r="E137" i="8"/>
  <c r="K145" i="8"/>
  <c r="E145" i="8"/>
  <c r="K153" i="8"/>
  <c r="E153" i="8"/>
  <c r="K161" i="8"/>
  <c r="E161" i="8"/>
  <c r="K169" i="8"/>
  <c r="E169" i="8"/>
  <c r="K177" i="8"/>
  <c r="E177" i="8"/>
  <c r="K185" i="8"/>
  <c r="E185" i="8"/>
  <c r="K193" i="8"/>
  <c r="E193" i="8"/>
  <c r="K201" i="8"/>
  <c r="E201" i="8"/>
  <c r="K209" i="8"/>
  <c r="E209" i="8"/>
  <c r="K217" i="8"/>
  <c r="E217" i="8"/>
  <c r="K225" i="8"/>
  <c r="E225" i="8"/>
  <c r="K233" i="8"/>
  <c r="E233" i="8"/>
  <c r="K241" i="8"/>
  <c r="E241" i="8"/>
  <c r="K249" i="8"/>
  <c r="E249" i="8"/>
  <c r="K257" i="8"/>
  <c r="E257" i="8"/>
  <c r="K265" i="8"/>
  <c r="E265" i="8"/>
  <c r="K273" i="8"/>
  <c r="E273" i="8"/>
  <c r="K281" i="8"/>
  <c r="E281" i="8"/>
  <c r="K289" i="8"/>
  <c r="E289" i="8"/>
  <c r="K297" i="8"/>
  <c r="E297" i="8"/>
  <c r="K305" i="8"/>
  <c r="E305" i="8"/>
  <c r="K10" i="8"/>
  <c r="E10" i="8"/>
  <c r="K18" i="8"/>
  <c r="E18" i="8"/>
  <c r="K26" i="8"/>
  <c r="E26" i="8"/>
  <c r="K34" i="8"/>
  <c r="E34" i="8"/>
  <c r="K42" i="8"/>
  <c r="E42" i="8"/>
  <c r="K50" i="8"/>
  <c r="E50" i="8"/>
  <c r="K58" i="8"/>
  <c r="E58" i="8"/>
  <c r="K66" i="8"/>
  <c r="E66" i="8"/>
  <c r="K74" i="8"/>
  <c r="E74" i="8"/>
  <c r="K82" i="8"/>
  <c r="E82" i="8"/>
  <c r="K90" i="8"/>
  <c r="E90" i="8"/>
  <c r="K98" i="8"/>
  <c r="E98" i="8"/>
  <c r="K106" i="8"/>
  <c r="E106" i="8"/>
  <c r="K114" i="8"/>
  <c r="E114" i="8"/>
  <c r="K122" i="8"/>
  <c r="E122" i="8"/>
  <c r="K130" i="8"/>
  <c r="E130" i="8"/>
  <c r="K138" i="8"/>
  <c r="E138" i="8"/>
  <c r="K146" i="8"/>
  <c r="E146" i="8"/>
  <c r="K154" i="8"/>
  <c r="E154" i="8"/>
  <c r="K162" i="8"/>
  <c r="E162" i="8"/>
  <c r="K170" i="8"/>
  <c r="E170" i="8"/>
  <c r="K178" i="8"/>
  <c r="E178" i="8"/>
  <c r="K186" i="8"/>
  <c r="E186" i="8"/>
  <c r="K194" i="8"/>
  <c r="E194" i="8"/>
  <c r="K202" i="8"/>
  <c r="E202" i="8"/>
  <c r="K210" i="8"/>
  <c r="E210" i="8"/>
  <c r="K218" i="8"/>
  <c r="E218" i="8"/>
  <c r="K226" i="8"/>
  <c r="E226" i="8"/>
  <c r="K234" i="8"/>
  <c r="E234" i="8"/>
  <c r="K242" i="8"/>
  <c r="E242" i="8"/>
  <c r="K250" i="8"/>
  <c r="E250" i="8"/>
  <c r="K258" i="8"/>
  <c r="E258" i="8"/>
  <c r="K266" i="8"/>
  <c r="E266" i="8"/>
  <c r="K274" i="8"/>
  <c r="E274" i="8"/>
  <c r="K282" i="8"/>
  <c r="E282" i="8"/>
  <c r="K290" i="8"/>
  <c r="E290" i="8"/>
  <c r="K298" i="8"/>
  <c r="E298" i="8"/>
  <c r="K306" i="8"/>
  <c r="E306" i="8"/>
  <c r="K11" i="8"/>
  <c r="E11" i="8"/>
  <c r="K19" i="8"/>
  <c r="E19" i="8"/>
  <c r="K27" i="8"/>
  <c r="E27" i="8"/>
  <c r="K35" i="8"/>
  <c r="E35" i="8"/>
  <c r="K43" i="8"/>
  <c r="E43" i="8"/>
  <c r="K51" i="8"/>
  <c r="E51" i="8"/>
  <c r="K59" i="8"/>
  <c r="E59" i="8"/>
  <c r="K67" i="8"/>
  <c r="E67" i="8"/>
  <c r="K75" i="8"/>
  <c r="E75" i="8"/>
  <c r="K83" i="8"/>
  <c r="E83" i="8"/>
  <c r="K91" i="8"/>
  <c r="E91" i="8"/>
  <c r="K99" i="8"/>
  <c r="E99" i="8"/>
  <c r="K107" i="8"/>
  <c r="E107" i="8"/>
  <c r="K115" i="8"/>
  <c r="E115" i="8"/>
  <c r="K123" i="8"/>
  <c r="E123" i="8"/>
  <c r="K131" i="8"/>
  <c r="E131" i="8"/>
  <c r="K139" i="8"/>
  <c r="E139" i="8"/>
  <c r="K147" i="8"/>
  <c r="E147" i="8"/>
  <c r="K155" i="8"/>
  <c r="E155" i="8"/>
  <c r="K163" i="8"/>
  <c r="E163" i="8"/>
  <c r="K171" i="8"/>
  <c r="E171" i="8"/>
  <c r="K179" i="8"/>
  <c r="E179" i="8"/>
  <c r="K187" i="8"/>
  <c r="E187" i="8"/>
  <c r="K195" i="8"/>
  <c r="E195" i="8"/>
  <c r="K203" i="8"/>
  <c r="E203" i="8"/>
  <c r="K211" i="8"/>
  <c r="E211" i="8"/>
  <c r="K219" i="8"/>
  <c r="E219" i="8"/>
  <c r="K227" i="8"/>
  <c r="E227" i="8"/>
  <c r="K235" i="8"/>
  <c r="E235" i="8"/>
  <c r="K243" i="8"/>
  <c r="E243" i="8"/>
  <c r="K251" i="8"/>
  <c r="E251" i="8"/>
  <c r="K259" i="8"/>
  <c r="E259" i="8"/>
  <c r="K267" i="8"/>
  <c r="E267" i="8"/>
  <c r="K275" i="8"/>
  <c r="E275" i="8"/>
  <c r="K283" i="8"/>
  <c r="E283" i="8"/>
  <c r="K291" i="8"/>
  <c r="E291" i="8"/>
  <c r="K299" i="8"/>
  <c r="E299" i="8"/>
  <c r="K12" i="8"/>
  <c r="E12" i="8"/>
  <c r="K20" i="8"/>
  <c r="E20" i="8"/>
  <c r="K28" i="8"/>
  <c r="E28" i="8"/>
  <c r="K36" i="8"/>
  <c r="E36" i="8"/>
  <c r="K44" i="8"/>
  <c r="E44" i="8"/>
  <c r="K52" i="8"/>
  <c r="E52" i="8"/>
  <c r="K60" i="8"/>
  <c r="E60" i="8"/>
  <c r="K68" i="8"/>
  <c r="E68" i="8"/>
  <c r="K76" i="8"/>
  <c r="E76" i="8"/>
  <c r="K84" i="8"/>
  <c r="E84" i="8"/>
  <c r="K92" i="8"/>
  <c r="E92" i="8"/>
  <c r="K100" i="8"/>
  <c r="E100" i="8"/>
  <c r="K108" i="8"/>
  <c r="E108" i="8"/>
  <c r="K116" i="8"/>
  <c r="E116" i="8"/>
  <c r="K124" i="8"/>
  <c r="E124" i="8"/>
  <c r="K132" i="8"/>
  <c r="E132" i="8"/>
  <c r="K140" i="8"/>
  <c r="E140" i="8"/>
  <c r="K148" i="8"/>
  <c r="E148" i="8"/>
  <c r="K156" i="8"/>
  <c r="E156" i="8"/>
  <c r="K164" i="8"/>
  <c r="E164" i="8"/>
  <c r="K172" i="8"/>
  <c r="E172" i="8"/>
  <c r="K180" i="8"/>
  <c r="E180" i="8"/>
  <c r="K188" i="8"/>
  <c r="E188" i="8"/>
  <c r="K196" i="8"/>
  <c r="E196" i="8"/>
  <c r="K204" i="8"/>
  <c r="E204" i="8"/>
  <c r="K212" i="8"/>
  <c r="E212" i="8"/>
  <c r="K220" i="8"/>
  <c r="E220" i="8"/>
  <c r="K228" i="8"/>
  <c r="E228" i="8"/>
  <c r="K236" i="8"/>
  <c r="E236" i="8"/>
  <c r="K244" i="8"/>
  <c r="E244" i="8"/>
  <c r="K252" i="8"/>
  <c r="E252" i="8"/>
  <c r="K260" i="8"/>
  <c r="E260" i="8"/>
  <c r="K268" i="8"/>
  <c r="E268" i="8"/>
  <c r="K276" i="8"/>
  <c r="E276" i="8"/>
  <c r="K284" i="8"/>
  <c r="E284" i="8"/>
  <c r="K292" i="8"/>
  <c r="E292" i="8"/>
  <c r="K300" i="8"/>
  <c r="E300" i="8"/>
  <c r="E13" i="8"/>
  <c r="K13" i="8"/>
  <c r="E21" i="8"/>
  <c r="K21" i="8"/>
  <c r="E29" i="8"/>
  <c r="K29" i="8"/>
  <c r="E37" i="8"/>
  <c r="K37" i="8"/>
  <c r="E45" i="8"/>
  <c r="K45" i="8"/>
  <c r="E53" i="8"/>
  <c r="K53" i="8"/>
  <c r="E61" i="8"/>
  <c r="K61" i="8"/>
  <c r="E69" i="8"/>
  <c r="K69" i="8"/>
  <c r="E77" i="8"/>
  <c r="K77" i="8"/>
  <c r="E85" i="8"/>
  <c r="K85" i="8"/>
  <c r="E93" i="8"/>
  <c r="K93" i="8"/>
  <c r="E101" i="8"/>
  <c r="K101" i="8"/>
  <c r="E109" i="8"/>
  <c r="K109" i="8"/>
  <c r="E117" i="8"/>
  <c r="K117" i="8"/>
  <c r="E125" i="8"/>
  <c r="K125" i="8"/>
  <c r="E133" i="8"/>
  <c r="K133" i="8"/>
  <c r="E141" i="8"/>
  <c r="K141" i="8"/>
  <c r="E149" i="8"/>
  <c r="K149" i="8"/>
  <c r="E157" i="8"/>
  <c r="K157" i="8"/>
  <c r="E165" i="8"/>
  <c r="K165" i="8"/>
  <c r="E173" i="8"/>
  <c r="K173" i="8"/>
  <c r="E181" i="8"/>
  <c r="K181" i="8"/>
  <c r="E189" i="8"/>
  <c r="K189" i="8"/>
  <c r="E197" i="8"/>
  <c r="K197" i="8"/>
  <c r="E205" i="8"/>
  <c r="K205" i="8"/>
  <c r="E213" i="8"/>
  <c r="K213" i="8"/>
  <c r="E221" i="8"/>
  <c r="K221" i="8"/>
  <c r="E229" i="8"/>
  <c r="K229" i="8"/>
  <c r="E237" i="8"/>
  <c r="K237" i="8"/>
  <c r="E245" i="8"/>
  <c r="K245" i="8"/>
  <c r="E253" i="8"/>
  <c r="K253" i="8"/>
  <c r="E261" i="8"/>
  <c r="K261" i="8"/>
  <c r="E269" i="8"/>
  <c r="K269" i="8"/>
  <c r="E277" i="8"/>
  <c r="K277" i="8"/>
  <c r="E285" i="8"/>
  <c r="K285" i="8"/>
  <c r="E293" i="8"/>
  <c r="K293" i="8"/>
  <c r="E301" i="8"/>
  <c r="K301" i="8"/>
  <c r="K14" i="8"/>
  <c r="E14" i="8"/>
  <c r="K22" i="8"/>
  <c r="E22" i="8"/>
  <c r="K30" i="8"/>
  <c r="E30" i="8"/>
  <c r="K38" i="8"/>
  <c r="E38" i="8"/>
  <c r="K46" i="8"/>
  <c r="E46" i="8"/>
  <c r="K54" i="8"/>
  <c r="E54" i="8"/>
  <c r="K62" i="8"/>
  <c r="E62" i="8"/>
  <c r="K70" i="8"/>
  <c r="E70" i="8"/>
  <c r="K78" i="8"/>
  <c r="E78" i="8"/>
  <c r="K86" i="8"/>
  <c r="E86" i="8"/>
  <c r="K94" i="8"/>
  <c r="E94" i="8"/>
  <c r="K102" i="8"/>
  <c r="E102" i="8"/>
  <c r="K110" i="8"/>
  <c r="E110" i="8"/>
  <c r="K118" i="8"/>
  <c r="E118" i="8"/>
  <c r="K126" i="8"/>
  <c r="E126" i="8"/>
  <c r="K134" i="8"/>
  <c r="E134" i="8"/>
  <c r="K142" i="8"/>
  <c r="E142" i="8"/>
  <c r="K150" i="8"/>
  <c r="E150" i="8"/>
  <c r="K158" i="8"/>
  <c r="E158" i="8"/>
  <c r="K166" i="8"/>
  <c r="E166" i="8"/>
  <c r="K174" i="8"/>
  <c r="E174" i="8"/>
  <c r="K182" i="8"/>
  <c r="E182" i="8"/>
  <c r="K190" i="8"/>
  <c r="E190" i="8"/>
  <c r="K198" i="8"/>
  <c r="E198" i="8"/>
  <c r="K206" i="8"/>
  <c r="E206" i="8"/>
  <c r="K214" i="8"/>
  <c r="E214" i="8"/>
  <c r="K222" i="8"/>
  <c r="E222" i="8"/>
  <c r="K230" i="8"/>
  <c r="E230" i="8"/>
  <c r="K238" i="8"/>
  <c r="E238" i="8"/>
  <c r="E246" i="8"/>
  <c r="K246" i="8"/>
  <c r="K254" i="8"/>
  <c r="E254" i="8"/>
  <c r="E262" i="8"/>
  <c r="K262" i="8"/>
  <c r="E270" i="8"/>
  <c r="K270" i="8"/>
  <c r="K278" i="8"/>
  <c r="E278" i="8"/>
  <c r="K286" i="8"/>
  <c r="E286" i="8"/>
  <c r="E294" i="8"/>
  <c r="K294" i="8"/>
  <c r="E302" i="8"/>
  <c r="K302" i="8"/>
  <c r="P29" i="4"/>
  <c r="P37" i="4" s="1"/>
  <c r="P145" i="4" s="1"/>
  <c r="T29" i="4"/>
  <c r="T37" i="4" s="1"/>
  <c r="T145" i="4" s="1"/>
  <c r="X29" i="4"/>
  <c r="V29" i="4"/>
  <c r="V37" i="4" s="1"/>
  <c r="V145" i="4" s="1"/>
  <c r="N29" i="4"/>
  <c r="N37" i="4" s="1"/>
  <c r="N145" i="4" s="1"/>
  <c r="R29" i="4"/>
  <c r="R37" i="4" s="1"/>
  <c r="R145" i="4" s="1"/>
  <c r="B130" i="4"/>
  <c r="J130" i="4" s="1"/>
  <c r="C130" i="4"/>
  <c r="K130" i="4" s="1"/>
  <c r="Q155" i="4"/>
  <c r="Q163" i="4" s="1"/>
  <c r="P155" i="4"/>
  <c r="P163" i="4" s="1"/>
  <c r="O155" i="4"/>
  <c r="O163" i="4" s="1"/>
  <c r="N155" i="4"/>
  <c r="N163" i="4" s="1"/>
  <c r="M155" i="4"/>
  <c r="O29" i="4"/>
  <c r="W29" i="4"/>
  <c r="W37" i="4" s="1"/>
  <c r="W145" i="4" s="1"/>
  <c r="H39" i="9"/>
  <c r="H42" i="9" s="1"/>
  <c r="B112" i="4"/>
  <c r="J112" i="4" s="1"/>
  <c r="X37" i="4"/>
  <c r="X145" i="4" s="1"/>
  <c r="AA7" i="5"/>
  <c r="N43" i="4"/>
  <c r="N49" i="4" s="1"/>
  <c r="AY7" i="5"/>
  <c r="R43" i="4"/>
  <c r="R49" i="4" s="1"/>
  <c r="R165" i="4" s="1"/>
  <c r="U7" i="5"/>
  <c r="M43" i="4"/>
  <c r="M49" i="4" s="1"/>
  <c r="N4" i="5"/>
  <c r="AS7" i="5"/>
  <c r="Q43" i="4"/>
  <c r="Q49" i="4" s="1"/>
  <c r="AM7" i="5"/>
  <c r="P43" i="4"/>
  <c r="P49" i="4" s="1"/>
  <c r="L5" i="5"/>
  <c r="S28" i="4"/>
  <c r="G28" i="4" s="1"/>
  <c r="F57" i="1" s="1"/>
  <c r="BK7" i="5"/>
  <c r="T43" i="4"/>
  <c r="T49" i="4" s="1"/>
  <c r="T165" i="4" s="1"/>
  <c r="CI7" i="5"/>
  <c r="X43" i="4"/>
  <c r="X49" i="4" s="1"/>
  <c r="X165" i="4" s="1"/>
  <c r="C152" i="4"/>
  <c r="K152" i="4" s="1"/>
  <c r="B152" i="4"/>
  <c r="J152" i="4" s="1"/>
  <c r="C155" i="4"/>
  <c r="K155" i="4" s="1"/>
  <c r="B155" i="4"/>
  <c r="C157" i="4"/>
  <c r="K157" i="4" s="1"/>
  <c r="B157" i="4"/>
  <c r="J157" i="4" s="1"/>
  <c r="C161" i="4"/>
  <c r="K161" i="4" s="1"/>
  <c r="B161" i="4"/>
  <c r="J161" i="4" s="1"/>
  <c r="M28" i="4"/>
  <c r="F28" i="4" s="1"/>
  <c r="E57" i="1" s="1"/>
  <c r="L4" i="5"/>
  <c r="BW7" i="5"/>
  <c r="V43" i="4"/>
  <c r="V49" i="4" s="1"/>
  <c r="V165" i="4" s="1"/>
  <c r="J5" i="5"/>
  <c r="S26" i="4"/>
  <c r="BQ7" i="5"/>
  <c r="U43" i="4"/>
  <c r="U49" i="4" s="1"/>
  <c r="U165" i="4" s="1"/>
  <c r="M26" i="4"/>
  <c r="J4" i="5"/>
  <c r="AG7" i="5"/>
  <c r="O43" i="4"/>
  <c r="O49" i="4" s="1"/>
  <c r="Q29" i="4"/>
  <c r="Q37" i="4" s="1"/>
  <c r="Q145" i="4" s="1"/>
  <c r="BE7" i="5"/>
  <c r="S43" i="4"/>
  <c r="S49" i="4" s="1"/>
  <c r="S165" i="4" s="1"/>
  <c r="N5" i="5"/>
  <c r="U29" i="4"/>
  <c r="CC7" i="5"/>
  <c r="W43" i="4"/>
  <c r="W49" i="4" s="1"/>
  <c r="W165" i="4" s="1"/>
  <c r="C148" i="4"/>
  <c r="K148" i="4" s="1"/>
  <c r="B148" i="4"/>
  <c r="J148" i="4" s="1"/>
  <c r="C149" i="4"/>
  <c r="K149" i="4" s="1"/>
  <c r="B149" i="4"/>
  <c r="J149" i="4" s="1"/>
  <c r="C159" i="4"/>
  <c r="K159" i="4" s="1"/>
  <c r="B159" i="4"/>
  <c r="J159" i="4" s="1"/>
  <c r="C151" i="4"/>
  <c r="K151" i="4" s="1"/>
  <c r="B151" i="4"/>
  <c r="J151" i="4" s="1"/>
  <c r="C153" i="4"/>
  <c r="K153" i="4" s="1"/>
  <c r="B153" i="4"/>
  <c r="J153" i="4" s="1"/>
  <c r="C156" i="4"/>
  <c r="K156" i="4" s="1"/>
  <c r="B156" i="4"/>
  <c r="J156" i="4" s="1"/>
  <c r="C158" i="4"/>
  <c r="K158" i="4" s="1"/>
  <c r="B158" i="4"/>
  <c r="J158" i="4" s="1"/>
  <c r="C160" i="4"/>
  <c r="K160" i="4" s="1"/>
  <c r="B160" i="4"/>
  <c r="J160" i="4" s="1"/>
  <c r="C116" i="4"/>
  <c r="K116" i="4" s="1"/>
  <c r="B116" i="4"/>
  <c r="J116" i="4" s="1"/>
  <c r="G39" i="9"/>
  <c r="G42" i="9" s="1"/>
  <c r="C113" i="4"/>
  <c r="K113" i="4" s="1"/>
  <c r="B113" i="4"/>
  <c r="J113" i="4" s="1"/>
  <c r="C124" i="4"/>
  <c r="K124" i="4" s="1"/>
  <c r="B124" i="4"/>
  <c r="J124" i="4" s="1"/>
  <c r="C128" i="4"/>
  <c r="K128" i="4" s="1"/>
  <c r="B128" i="4"/>
  <c r="J128" i="4" s="1"/>
  <c r="C133" i="4"/>
  <c r="K133" i="4" s="1"/>
  <c r="B133" i="4"/>
  <c r="J133" i="4" s="1"/>
  <c r="C136" i="4"/>
  <c r="K136" i="4" s="1"/>
  <c r="B136" i="4"/>
  <c r="J136" i="4" s="1"/>
  <c r="B127" i="4"/>
  <c r="J127" i="4" s="1"/>
  <c r="C127" i="4"/>
  <c r="K127" i="4" s="1"/>
  <c r="C141" i="4"/>
  <c r="K141" i="4" s="1"/>
  <c r="B141" i="4"/>
  <c r="J141" i="4" s="1"/>
  <c r="B120" i="4"/>
  <c r="J120" i="4" s="1"/>
  <c r="C120" i="4"/>
  <c r="K120" i="4" s="1"/>
  <c r="C132" i="4"/>
  <c r="K132" i="4" s="1"/>
  <c r="B132" i="4"/>
  <c r="J132" i="4" s="1"/>
  <c r="C134" i="4"/>
  <c r="K134" i="4" s="1"/>
  <c r="B134" i="4"/>
  <c r="J134" i="4" s="1"/>
  <c r="C121" i="4"/>
  <c r="K121" i="4" s="1"/>
  <c r="B121" i="4"/>
  <c r="J121" i="4" s="1"/>
  <c r="C125" i="4"/>
  <c r="K125" i="4" s="1"/>
  <c r="B125" i="4"/>
  <c r="J125" i="4" s="1"/>
  <c r="C129" i="4"/>
  <c r="K129" i="4" s="1"/>
  <c r="B129" i="4"/>
  <c r="J129" i="4" s="1"/>
  <c r="C131" i="4"/>
  <c r="K131" i="4" s="1"/>
  <c r="B131" i="4"/>
  <c r="J131" i="4" s="1"/>
  <c r="C137" i="4"/>
  <c r="K137" i="4" s="1"/>
  <c r="B137" i="4"/>
  <c r="J137" i="4" s="1"/>
  <c r="C140" i="4"/>
  <c r="K140" i="4" s="1"/>
  <c r="B140" i="4"/>
  <c r="J140" i="4" s="1"/>
  <c r="C118" i="4"/>
  <c r="K118" i="4" s="1"/>
  <c r="B118" i="4"/>
  <c r="J118" i="4" s="1"/>
  <c r="C139" i="4"/>
  <c r="K139" i="4" s="1"/>
  <c r="B139" i="4"/>
  <c r="J139" i="4" s="1"/>
  <c r="C114" i="4"/>
  <c r="K114" i="4" s="1"/>
  <c r="B114" i="4"/>
  <c r="J114" i="4" s="1"/>
  <c r="B117" i="4"/>
  <c r="J117" i="4" s="1"/>
  <c r="C117" i="4"/>
  <c r="K117" i="4" s="1"/>
  <c r="C119" i="4"/>
  <c r="K119" i="4" s="1"/>
  <c r="B119" i="4"/>
  <c r="J119" i="4" s="1"/>
  <c r="C126" i="4"/>
  <c r="K126" i="4" s="1"/>
  <c r="B126" i="4"/>
  <c r="J126" i="4" s="1"/>
  <c r="C138" i="4"/>
  <c r="K138" i="4" s="1"/>
  <c r="B138" i="4"/>
  <c r="J138" i="4" s="1"/>
  <c r="C135" i="4"/>
  <c r="K135" i="4" s="1"/>
  <c r="B135" i="4"/>
  <c r="J135" i="4" s="1"/>
  <c r="C122" i="4"/>
  <c r="K122" i="4" s="1"/>
  <c r="B122" i="4"/>
  <c r="J122" i="4" s="1"/>
  <c r="S7" i="5"/>
  <c r="K39" i="9"/>
  <c r="G75" i="9"/>
  <c r="G78" i="9" s="1"/>
  <c r="H75" i="9"/>
  <c r="CG7" i="5"/>
  <c r="BI7" i="5"/>
  <c r="BC7" i="5"/>
  <c r="AK7" i="5"/>
  <c r="AE7" i="5"/>
  <c r="L4" i="8"/>
  <c r="CA7" i="5"/>
  <c r="AW7" i="5"/>
  <c r="BU7" i="5"/>
  <c r="BO7" i="5"/>
  <c r="AQ7" i="5"/>
  <c r="Y7" i="5"/>
  <c r="X16" i="4"/>
  <c r="W16" i="4"/>
  <c r="V16" i="4"/>
  <c r="U16" i="4"/>
  <c r="T16" i="4"/>
  <c r="S16" i="4"/>
  <c r="R16" i="4"/>
  <c r="Q16" i="4"/>
  <c r="P16" i="4"/>
  <c r="O16" i="4"/>
  <c r="N16" i="4"/>
  <c r="C68" i="4"/>
  <c r="B68" i="4"/>
  <c r="C56" i="4"/>
  <c r="B56" i="4"/>
  <c r="U5" i="2"/>
  <c r="T5" i="2"/>
  <c r="U10" i="2"/>
  <c r="C43" i="4" s="1"/>
  <c r="T10" i="2"/>
  <c r="C28" i="4" s="1"/>
  <c r="U6" i="2"/>
  <c r="T6" i="2"/>
  <c r="L6" i="2"/>
  <c r="L5" i="2"/>
  <c r="K6" i="2"/>
  <c r="K5" i="2"/>
  <c r="L10" i="2"/>
  <c r="B43" i="4" s="1"/>
  <c r="B49" i="4" s="1"/>
  <c r="L3" i="6" s="1"/>
  <c r="K10" i="2"/>
  <c r="B28" i="4" s="1"/>
  <c r="E54" i="1" s="1"/>
  <c r="D112" i="4" l="1"/>
  <c r="D130" i="4"/>
  <c r="L118" i="4"/>
  <c r="L122" i="4"/>
  <c r="L119" i="4"/>
  <c r="L140" i="4"/>
  <c r="L125" i="4"/>
  <c r="L141" i="4"/>
  <c r="L128" i="4"/>
  <c r="L161" i="4"/>
  <c r="K143" i="4"/>
  <c r="L117" i="4"/>
  <c r="L127" i="4"/>
  <c r="K163" i="4"/>
  <c r="K28" i="4"/>
  <c r="F54" i="1"/>
  <c r="L124" i="4"/>
  <c r="L160" i="4"/>
  <c r="L151" i="4"/>
  <c r="L148" i="4"/>
  <c r="L138" i="4"/>
  <c r="L114" i="4"/>
  <c r="L131" i="4"/>
  <c r="L134" i="4"/>
  <c r="L136" i="4"/>
  <c r="L113" i="4"/>
  <c r="L116" i="4"/>
  <c r="L157" i="4"/>
  <c r="L152" i="4"/>
  <c r="L112" i="4"/>
  <c r="J143" i="4"/>
  <c r="L135" i="4"/>
  <c r="L137" i="4"/>
  <c r="L121" i="4"/>
  <c r="L156" i="4"/>
  <c r="L159" i="4"/>
  <c r="L126" i="4"/>
  <c r="L139" i="4"/>
  <c r="L129" i="4"/>
  <c r="L132" i="4"/>
  <c r="L120" i="4"/>
  <c r="L133" i="4"/>
  <c r="L158" i="4"/>
  <c r="L153" i="4"/>
  <c r="L149" i="4"/>
  <c r="L130" i="4"/>
  <c r="N165" i="4"/>
  <c r="M163" i="4"/>
  <c r="M165" i="4" s="1"/>
  <c r="F155" i="4"/>
  <c r="P165" i="4"/>
  <c r="D157" i="4"/>
  <c r="D152" i="4"/>
  <c r="U37" i="4"/>
  <c r="U145" i="4" s="1"/>
  <c r="Q165" i="4"/>
  <c r="H28" i="4"/>
  <c r="H45" i="9"/>
  <c r="H44" i="9"/>
  <c r="O37" i="4"/>
  <c r="O145" i="4" s="1"/>
  <c r="O165" i="4"/>
  <c r="F31" i="4"/>
  <c r="G70" i="4"/>
  <c r="G31" i="4"/>
  <c r="F70" i="4"/>
  <c r="D161" i="4"/>
  <c r="D155" i="4"/>
  <c r="J39" i="9"/>
  <c r="C163" i="4"/>
  <c r="F43" i="4"/>
  <c r="F49" i="4" s="1"/>
  <c r="L4" i="6" s="1"/>
  <c r="L6" i="6" s="1"/>
  <c r="S29" i="4"/>
  <c r="S37" i="4" s="1"/>
  <c r="S145" i="4" s="1"/>
  <c r="G26" i="4"/>
  <c r="G29" i="4" s="1"/>
  <c r="D160" i="4"/>
  <c r="D156" i="4"/>
  <c r="D151" i="4"/>
  <c r="D159" i="4"/>
  <c r="D148" i="4"/>
  <c r="B163" i="4"/>
  <c r="F26" i="4"/>
  <c r="M29" i="4"/>
  <c r="M37" i="4" s="1"/>
  <c r="M145" i="4" s="1"/>
  <c r="D158" i="4"/>
  <c r="D153" i="4"/>
  <c r="D149" i="4"/>
  <c r="G43" i="4"/>
  <c r="K43" i="4" s="1"/>
  <c r="K49" i="4" s="1"/>
  <c r="J28" i="4"/>
  <c r="D28" i="4"/>
  <c r="D43" i="4"/>
  <c r="D138" i="4"/>
  <c r="D114" i="4"/>
  <c r="D129" i="4"/>
  <c r="D132" i="4"/>
  <c r="D133" i="4"/>
  <c r="D122" i="4"/>
  <c r="D119" i="4"/>
  <c r="D117" i="4"/>
  <c r="D120" i="4"/>
  <c r="D137" i="4"/>
  <c r="D121" i="4"/>
  <c r="D124" i="4"/>
  <c r="C143" i="4"/>
  <c r="G44" i="9"/>
  <c r="G45" i="9"/>
  <c r="D135" i="4"/>
  <c r="B143" i="4"/>
  <c r="D131" i="4"/>
  <c r="D134" i="4"/>
  <c r="D136" i="4"/>
  <c r="D113" i="4"/>
  <c r="D116" i="4"/>
  <c r="D118" i="4"/>
  <c r="D126" i="4"/>
  <c r="D139" i="4"/>
  <c r="D140" i="4"/>
  <c r="D125" i="4"/>
  <c r="D141" i="4"/>
  <c r="D127" i="4"/>
  <c r="D128" i="4"/>
  <c r="F4" i="8"/>
  <c r="L18" i="1" s="1"/>
  <c r="K18" i="1" s="1"/>
  <c r="L96" i="1"/>
  <c r="L97" i="1"/>
  <c r="L98" i="1"/>
  <c r="H98" i="1"/>
  <c r="H97" i="1"/>
  <c r="H96" i="1"/>
  <c r="L19" i="1"/>
  <c r="K19" i="1" s="1"/>
  <c r="T7" i="2"/>
  <c r="G16" i="4"/>
  <c r="K16" i="4" s="1"/>
  <c r="F16" i="4"/>
  <c r="K7" i="2"/>
  <c r="U7" i="2"/>
  <c r="E20" i="1" s="1"/>
  <c r="L7" i="2"/>
  <c r="J10" i="2"/>
  <c r="B26" i="4" s="1"/>
  <c r="H60" i="7"/>
  <c r="G60" i="7"/>
  <c r="C60" i="7"/>
  <c r="B60" i="7"/>
  <c r="I59" i="7"/>
  <c r="C101" i="4" s="1"/>
  <c r="I58" i="7"/>
  <c r="C100" i="4" s="1"/>
  <c r="I57" i="7"/>
  <c r="C99" i="4" s="1"/>
  <c r="I56" i="7"/>
  <c r="C98" i="4" s="1"/>
  <c r="I55" i="7"/>
  <c r="C97" i="4" s="1"/>
  <c r="I54" i="7"/>
  <c r="C96" i="4" s="1"/>
  <c r="I53" i="7"/>
  <c r="C95" i="4" s="1"/>
  <c r="I52" i="7"/>
  <c r="C94" i="4" s="1"/>
  <c r="I51" i="7"/>
  <c r="C93" i="4" s="1"/>
  <c r="I50" i="7"/>
  <c r="C92" i="4" s="1"/>
  <c r="I49" i="7"/>
  <c r="C91" i="4" s="1"/>
  <c r="I48" i="7"/>
  <c r="C90" i="4" s="1"/>
  <c r="I47" i="7"/>
  <c r="C89" i="4" s="1"/>
  <c r="I46" i="7"/>
  <c r="C88" i="4" s="1"/>
  <c r="I45" i="7"/>
  <c r="C87" i="4" s="1"/>
  <c r="I44" i="7"/>
  <c r="C86" i="4" s="1"/>
  <c r="I43" i="7"/>
  <c r="C85" i="4" s="1"/>
  <c r="I42" i="7"/>
  <c r="C84" i="4" s="1"/>
  <c r="I41" i="7"/>
  <c r="C83" i="4" s="1"/>
  <c r="I40" i="7"/>
  <c r="C82" i="4" s="1"/>
  <c r="I39" i="7"/>
  <c r="C81" i="4" s="1"/>
  <c r="I38" i="7"/>
  <c r="C80" i="4" s="1"/>
  <c r="I37" i="7"/>
  <c r="C79" i="4" s="1"/>
  <c r="I36" i="7"/>
  <c r="C78" i="4" s="1"/>
  <c r="I35" i="7"/>
  <c r="C77" i="4" s="1"/>
  <c r="D59" i="7"/>
  <c r="B101" i="4" s="1"/>
  <c r="D58" i="7"/>
  <c r="B100" i="4" s="1"/>
  <c r="D57" i="7"/>
  <c r="B99" i="4" s="1"/>
  <c r="D56" i="7"/>
  <c r="B98" i="4" s="1"/>
  <c r="D55" i="7"/>
  <c r="B97" i="4" s="1"/>
  <c r="D54" i="7"/>
  <c r="B96" i="4" s="1"/>
  <c r="D53" i="7"/>
  <c r="B95" i="4" s="1"/>
  <c r="D52" i="7"/>
  <c r="B94" i="4" s="1"/>
  <c r="D51" i="7"/>
  <c r="B93" i="4" s="1"/>
  <c r="D50" i="7"/>
  <c r="B92" i="4" s="1"/>
  <c r="D49" i="7"/>
  <c r="B91" i="4" s="1"/>
  <c r="D48" i="7"/>
  <c r="B90" i="4" s="1"/>
  <c r="D47" i="7"/>
  <c r="B89" i="4" s="1"/>
  <c r="D46" i="7"/>
  <c r="B88" i="4" s="1"/>
  <c r="D45" i="7"/>
  <c r="B87" i="4" s="1"/>
  <c r="D44" i="7"/>
  <c r="B86" i="4" s="1"/>
  <c r="D43" i="7"/>
  <c r="B85" i="4" s="1"/>
  <c r="D42" i="7"/>
  <c r="B84" i="4" s="1"/>
  <c r="D41" i="7"/>
  <c r="B83" i="4" s="1"/>
  <c r="D40" i="7"/>
  <c r="B82" i="4" s="1"/>
  <c r="D39" i="7"/>
  <c r="B81" i="4" s="1"/>
  <c r="D38" i="7"/>
  <c r="B80" i="4" s="1"/>
  <c r="D37" i="7"/>
  <c r="B79" i="4" s="1"/>
  <c r="D36" i="7"/>
  <c r="B78" i="4" s="1"/>
  <c r="D35" i="7"/>
  <c r="B77" i="4" s="1"/>
  <c r="I22" i="7"/>
  <c r="H22" i="7"/>
  <c r="I19" i="7"/>
  <c r="J19" i="7" s="1"/>
  <c r="C66" i="4" s="1"/>
  <c r="I18" i="7"/>
  <c r="J18" i="7" s="1"/>
  <c r="C63" i="4" s="1"/>
  <c r="I17" i="7"/>
  <c r="J17" i="7" s="1"/>
  <c r="C62" i="4" s="1"/>
  <c r="D22" i="7"/>
  <c r="C22" i="7"/>
  <c r="D19" i="7"/>
  <c r="E19" i="7" s="1"/>
  <c r="B66" i="4" s="1"/>
  <c r="D18" i="7"/>
  <c r="E18" i="7" s="1"/>
  <c r="B63" i="4" s="1"/>
  <c r="D17" i="7"/>
  <c r="E17" i="7" s="1"/>
  <c r="B62" i="4" s="1"/>
  <c r="D14" i="7"/>
  <c r="G3" i="7"/>
  <c r="H3" i="7" s="1"/>
  <c r="D3" i="7"/>
  <c r="E3" i="7" s="1"/>
  <c r="X18" i="4"/>
  <c r="W18" i="4"/>
  <c r="L28" i="4" l="1"/>
  <c r="K165" i="4"/>
  <c r="E14" i="7"/>
  <c r="B57" i="4" s="1"/>
  <c r="L143" i="4"/>
  <c r="J155" i="4"/>
  <c r="H155" i="4"/>
  <c r="H163" i="4" s="1"/>
  <c r="F163" i="4"/>
  <c r="F165" i="4" s="1"/>
  <c r="C41" i="4" s="1"/>
  <c r="C49" i="4" s="1"/>
  <c r="J43" i="4"/>
  <c r="J49" i="4" s="1"/>
  <c r="L49" i="4" s="1"/>
  <c r="H70" i="4"/>
  <c r="H31" i="4"/>
  <c r="F29" i="4"/>
  <c r="H29" i="4" s="1"/>
  <c r="H26" i="4"/>
  <c r="J26" i="4"/>
  <c r="D163" i="4"/>
  <c r="H43" i="4"/>
  <c r="B165" i="4"/>
  <c r="H133" i="1" s="1"/>
  <c r="D143" i="4"/>
  <c r="H16" i="4"/>
  <c r="I76" i="7"/>
  <c r="D20" i="1"/>
  <c r="J59" i="9"/>
  <c r="F82" i="9" s="1"/>
  <c r="G18" i="4"/>
  <c r="L29" i="1" s="1"/>
  <c r="F18" i="4"/>
  <c r="K29" i="1" s="1"/>
  <c r="J16" i="4"/>
  <c r="L16" i="4" s="1"/>
  <c r="I60" i="7"/>
  <c r="D60" i="7"/>
  <c r="V18" i="4"/>
  <c r="U18" i="4"/>
  <c r="T18" i="4"/>
  <c r="J76" i="7" l="1"/>
  <c r="H76" i="7"/>
  <c r="C165" i="4"/>
  <c r="J133" i="1" s="1"/>
  <c r="M3" i="6"/>
  <c r="D49" i="4"/>
  <c r="L43" i="4"/>
  <c r="G41" i="4"/>
  <c r="G49" i="4" s="1"/>
  <c r="H134" i="1"/>
  <c r="F37" i="4"/>
  <c r="L155" i="4"/>
  <c r="L163" i="4" s="1"/>
  <c r="L165" i="4" s="1"/>
  <c r="J163" i="4"/>
  <c r="J165" i="4" s="1"/>
  <c r="B54" i="4"/>
  <c r="G101" i="4"/>
  <c r="G100" i="4"/>
  <c r="G99" i="4"/>
  <c r="G98" i="4"/>
  <c r="G94" i="4"/>
  <c r="G93" i="4"/>
  <c r="G62" i="4"/>
  <c r="S18" i="4"/>
  <c r="R18" i="4"/>
  <c r="Q18" i="4"/>
  <c r="P18" i="4"/>
  <c r="O18" i="4"/>
  <c r="H91" i="1" l="1"/>
  <c r="H93" i="1"/>
  <c r="H92" i="1"/>
  <c r="D165" i="4"/>
  <c r="L133" i="1" s="1"/>
  <c r="N3" i="6"/>
  <c r="F145" i="4"/>
  <c r="C24" i="4" s="1"/>
  <c r="I4" i="6"/>
  <c r="I6" i="6" s="1"/>
  <c r="G165" i="4"/>
  <c r="J134" i="1" s="1"/>
  <c r="M4" i="6"/>
  <c r="M6" i="6" s="1"/>
  <c r="H49" i="4"/>
  <c r="G82" i="9"/>
  <c r="G84" i="9" s="1"/>
  <c r="H82" i="9"/>
  <c r="N18" i="4"/>
  <c r="F101" i="4"/>
  <c r="J101" i="4" s="1"/>
  <c r="F100" i="4"/>
  <c r="J100" i="4" s="1"/>
  <c r="F99" i="4"/>
  <c r="J99" i="4" s="1"/>
  <c r="F98" i="4"/>
  <c r="J98" i="4" s="1"/>
  <c r="F94" i="4"/>
  <c r="J94" i="4" s="1"/>
  <c r="F93" i="4"/>
  <c r="J93" i="4" s="1"/>
  <c r="M18" i="4"/>
  <c r="K94" i="4"/>
  <c r="F5" i="4"/>
  <c r="M5" i="4" s="1"/>
  <c r="K101" i="4"/>
  <c r="K100" i="4"/>
  <c r="K99" i="4"/>
  <c r="K98" i="4"/>
  <c r="K93" i="4"/>
  <c r="K62" i="4"/>
  <c r="H131" i="1" l="1"/>
  <c r="H165" i="4"/>
  <c r="L134" i="1" s="1"/>
  <c r="N4" i="6"/>
  <c r="N6" i="6" s="1"/>
  <c r="G24" i="4"/>
  <c r="G37" i="4" s="1"/>
  <c r="J4" i="6" s="1"/>
  <c r="J6" i="6" s="1"/>
  <c r="G85" i="9"/>
  <c r="H85" i="9"/>
  <c r="H84" i="9"/>
  <c r="F62" i="4"/>
  <c r="J62" i="4" s="1"/>
  <c r="H99" i="4"/>
  <c r="H101" i="4"/>
  <c r="H100" i="4"/>
  <c r="H98" i="4"/>
  <c r="H94" i="4"/>
  <c r="H93" i="4"/>
  <c r="B1013" i="6"/>
  <c r="B1012" i="6"/>
  <c r="B1011" i="6"/>
  <c r="B1010" i="6"/>
  <c r="B1009" i="6"/>
  <c r="B1008" i="6"/>
  <c r="B1007" i="6"/>
  <c r="B1006" i="6"/>
  <c r="B1005" i="6"/>
  <c r="B1004" i="6"/>
  <c r="B1003" i="6"/>
  <c r="B1002" i="6"/>
  <c r="B1001" i="6"/>
  <c r="B1000" i="6"/>
  <c r="B999" i="6"/>
  <c r="B998" i="6"/>
  <c r="B997" i="6"/>
  <c r="B996" i="6"/>
  <c r="B995" i="6"/>
  <c r="B994" i="6"/>
  <c r="B993" i="6"/>
  <c r="B992" i="6"/>
  <c r="B991" i="6"/>
  <c r="B990" i="6"/>
  <c r="B989" i="6"/>
  <c r="B988" i="6"/>
  <c r="B987" i="6"/>
  <c r="B986" i="6"/>
  <c r="B985" i="6"/>
  <c r="B984" i="6"/>
  <c r="B983" i="6"/>
  <c r="B982" i="6"/>
  <c r="B981" i="6"/>
  <c r="B980" i="6"/>
  <c r="B979" i="6"/>
  <c r="B978" i="6"/>
  <c r="B977" i="6"/>
  <c r="B976" i="6"/>
  <c r="B975" i="6"/>
  <c r="B974" i="6"/>
  <c r="B973" i="6"/>
  <c r="B972" i="6"/>
  <c r="B971" i="6"/>
  <c r="B970" i="6"/>
  <c r="B969" i="6"/>
  <c r="B968" i="6"/>
  <c r="B967" i="6"/>
  <c r="B966" i="6"/>
  <c r="B965" i="6"/>
  <c r="B964" i="6"/>
  <c r="B963" i="6"/>
  <c r="B962" i="6"/>
  <c r="B961" i="6"/>
  <c r="B960" i="6"/>
  <c r="B959" i="6"/>
  <c r="B958" i="6"/>
  <c r="B957" i="6"/>
  <c r="B956" i="6"/>
  <c r="B955" i="6"/>
  <c r="B954" i="6"/>
  <c r="B953" i="6"/>
  <c r="B952" i="6"/>
  <c r="B951" i="6"/>
  <c r="B950" i="6"/>
  <c r="B949" i="6"/>
  <c r="B948" i="6"/>
  <c r="B947" i="6"/>
  <c r="B946" i="6"/>
  <c r="B945" i="6"/>
  <c r="B944" i="6"/>
  <c r="B943" i="6"/>
  <c r="B942" i="6"/>
  <c r="B941" i="6"/>
  <c r="B940" i="6"/>
  <c r="B939" i="6"/>
  <c r="B938" i="6"/>
  <c r="B937" i="6"/>
  <c r="B936" i="6"/>
  <c r="B935" i="6"/>
  <c r="B934" i="6"/>
  <c r="B933" i="6"/>
  <c r="B932" i="6"/>
  <c r="B931" i="6"/>
  <c r="B930" i="6"/>
  <c r="B929" i="6"/>
  <c r="B928" i="6"/>
  <c r="B927" i="6"/>
  <c r="B926" i="6"/>
  <c r="B925" i="6"/>
  <c r="B924" i="6"/>
  <c r="B923" i="6"/>
  <c r="B922" i="6"/>
  <c r="B921" i="6"/>
  <c r="B920" i="6"/>
  <c r="B919" i="6"/>
  <c r="B918" i="6"/>
  <c r="B917" i="6"/>
  <c r="B916" i="6"/>
  <c r="B915" i="6"/>
  <c r="B914" i="6"/>
  <c r="B913" i="6"/>
  <c r="B912" i="6"/>
  <c r="B911" i="6"/>
  <c r="B910" i="6"/>
  <c r="B909" i="6"/>
  <c r="B908" i="6"/>
  <c r="B907" i="6"/>
  <c r="B906" i="6"/>
  <c r="B905" i="6"/>
  <c r="B904" i="6"/>
  <c r="B903" i="6"/>
  <c r="B902" i="6"/>
  <c r="B901" i="6"/>
  <c r="B900" i="6"/>
  <c r="B899" i="6"/>
  <c r="B898" i="6"/>
  <c r="B897" i="6"/>
  <c r="B896" i="6"/>
  <c r="B895" i="6"/>
  <c r="B894" i="6"/>
  <c r="B893" i="6"/>
  <c r="B892" i="6"/>
  <c r="B891" i="6"/>
  <c r="B890" i="6"/>
  <c r="B889" i="6"/>
  <c r="B888" i="6"/>
  <c r="B887" i="6"/>
  <c r="B886" i="6"/>
  <c r="B885" i="6"/>
  <c r="B884" i="6"/>
  <c r="B883" i="6"/>
  <c r="B882" i="6"/>
  <c r="B881" i="6"/>
  <c r="B880" i="6"/>
  <c r="B879" i="6"/>
  <c r="B878" i="6"/>
  <c r="B877" i="6"/>
  <c r="B876" i="6"/>
  <c r="B875" i="6"/>
  <c r="B874" i="6"/>
  <c r="B873" i="6"/>
  <c r="B872" i="6"/>
  <c r="B871" i="6"/>
  <c r="B870" i="6"/>
  <c r="B869" i="6"/>
  <c r="B868" i="6"/>
  <c r="B867" i="6"/>
  <c r="B866" i="6"/>
  <c r="B865" i="6"/>
  <c r="B864" i="6"/>
  <c r="B863" i="6"/>
  <c r="B862" i="6"/>
  <c r="B861" i="6"/>
  <c r="B860" i="6"/>
  <c r="B859" i="6"/>
  <c r="B858" i="6"/>
  <c r="B857" i="6"/>
  <c r="B856" i="6"/>
  <c r="B855" i="6"/>
  <c r="B854" i="6"/>
  <c r="B853" i="6"/>
  <c r="B852" i="6"/>
  <c r="B851" i="6"/>
  <c r="B850" i="6"/>
  <c r="B849" i="6"/>
  <c r="B848" i="6"/>
  <c r="B847" i="6"/>
  <c r="B846" i="6"/>
  <c r="B845" i="6"/>
  <c r="B844" i="6"/>
  <c r="B843" i="6"/>
  <c r="B842" i="6"/>
  <c r="B841" i="6"/>
  <c r="B840" i="6"/>
  <c r="B839" i="6"/>
  <c r="B838" i="6"/>
  <c r="B837" i="6"/>
  <c r="B836" i="6"/>
  <c r="B835" i="6"/>
  <c r="B834" i="6"/>
  <c r="B833" i="6"/>
  <c r="B832" i="6"/>
  <c r="B831" i="6"/>
  <c r="B830" i="6"/>
  <c r="B829" i="6"/>
  <c r="B828" i="6"/>
  <c r="B827" i="6"/>
  <c r="B826" i="6"/>
  <c r="B825" i="6"/>
  <c r="B824" i="6"/>
  <c r="B823" i="6"/>
  <c r="B822" i="6"/>
  <c r="B821" i="6"/>
  <c r="B820" i="6"/>
  <c r="B819" i="6"/>
  <c r="B818" i="6"/>
  <c r="B817" i="6"/>
  <c r="B816" i="6"/>
  <c r="B815" i="6"/>
  <c r="B814" i="6"/>
  <c r="B813" i="6"/>
  <c r="B812" i="6"/>
  <c r="B811" i="6"/>
  <c r="B810" i="6"/>
  <c r="B809" i="6"/>
  <c r="B808" i="6"/>
  <c r="B807" i="6"/>
  <c r="B806" i="6"/>
  <c r="B805" i="6"/>
  <c r="B804" i="6"/>
  <c r="B803" i="6"/>
  <c r="B802" i="6"/>
  <c r="B801" i="6"/>
  <c r="B800" i="6"/>
  <c r="B799" i="6"/>
  <c r="B798" i="6"/>
  <c r="B797" i="6"/>
  <c r="B796" i="6"/>
  <c r="B795" i="6"/>
  <c r="B794" i="6"/>
  <c r="B793" i="6"/>
  <c r="B792" i="6"/>
  <c r="B791" i="6"/>
  <c r="B790" i="6"/>
  <c r="B789" i="6"/>
  <c r="B788" i="6"/>
  <c r="B787" i="6"/>
  <c r="B786" i="6"/>
  <c r="B785" i="6"/>
  <c r="B784" i="6"/>
  <c r="B783" i="6"/>
  <c r="B782" i="6"/>
  <c r="B781" i="6"/>
  <c r="B780" i="6"/>
  <c r="B779" i="6"/>
  <c r="B778" i="6"/>
  <c r="B777" i="6"/>
  <c r="B776" i="6"/>
  <c r="B775" i="6"/>
  <c r="B774" i="6"/>
  <c r="B773" i="6"/>
  <c r="B772" i="6"/>
  <c r="B771" i="6"/>
  <c r="B770" i="6"/>
  <c r="B769" i="6"/>
  <c r="B768" i="6"/>
  <c r="B767" i="6"/>
  <c r="B766" i="6"/>
  <c r="B765" i="6"/>
  <c r="B764" i="6"/>
  <c r="B763" i="6"/>
  <c r="B762" i="6"/>
  <c r="B761" i="6"/>
  <c r="B760" i="6"/>
  <c r="B759" i="6"/>
  <c r="B758" i="6"/>
  <c r="B757" i="6"/>
  <c r="B756" i="6"/>
  <c r="B755" i="6"/>
  <c r="B754" i="6"/>
  <c r="B753" i="6"/>
  <c r="B752" i="6"/>
  <c r="B751" i="6"/>
  <c r="B750" i="6"/>
  <c r="B749" i="6"/>
  <c r="B748" i="6"/>
  <c r="B747" i="6"/>
  <c r="B746" i="6"/>
  <c r="B745" i="6"/>
  <c r="B744" i="6"/>
  <c r="B743" i="6"/>
  <c r="B742" i="6"/>
  <c r="B741" i="6"/>
  <c r="B740" i="6"/>
  <c r="B739" i="6"/>
  <c r="B738" i="6"/>
  <c r="B737" i="6"/>
  <c r="B736" i="6"/>
  <c r="B735" i="6"/>
  <c r="B734" i="6"/>
  <c r="B733" i="6"/>
  <c r="B732" i="6"/>
  <c r="B731" i="6"/>
  <c r="B730" i="6"/>
  <c r="B729" i="6"/>
  <c r="B728" i="6"/>
  <c r="B727" i="6"/>
  <c r="B726" i="6"/>
  <c r="B725" i="6"/>
  <c r="B724" i="6"/>
  <c r="B723" i="6"/>
  <c r="B722" i="6"/>
  <c r="B721" i="6"/>
  <c r="B720" i="6"/>
  <c r="B719" i="6"/>
  <c r="B718" i="6"/>
  <c r="B717" i="6"/>
  <c r="B716" i="6"/>
  <c r="B715" i="6"/>
  <c r="B714" i="6"/>
  <c r="B713" i="6"/>
  <c r="B712" i="6"/>
  <c r="B711" i="6"/>
  <c r="B710" i="6"/>
  <c r="B709" i="6"/>
  <c r="B708" i="6"/>
  <c r="B707" i="6"/>
  <c r="B706" i="6"/>
  <c r="B705" i="6"/>
  <c r="B704" i="6"/>
  <c r="B703" i="6"/>
  <c r="B702" i="6"/>
  <c r="B701" i="6"/>
  <c r="B700" i="6"/>
  <c r="B699" i="6"/>
  <c r="B698" i="6"/>
  <c r="B697" i="6"/>
  <c r="B696" i="6"/>
  <c r="B695" i="6"/>
  <c r="B694" i="6"/>
  <c r="B693" i="6"/>
  <c r="B692" i="6"/>
  <c r="B691" i="6"/>
  <c r="B690" i="6"/>
  <c r="B689" i="6"/>
  <c r="B688" i="6"/>
  <c r="B687" i="6"/>
  <c r="B686" i="6"/>
  <c r="B685" i="6"/>
  <c r="B684" i="6"/>
  <c r="B683" i="6"/>
  <c r="B682" i="6"/>
  <c r="B681" i="6"/>
  <c r="B680" i="6"/>
  <c r="B679" i="6"/>
  <c r="B678" i="6"/>
  <c r="B677" i="6"/>
  <c r="B676" i="6"/>
  <c r="B675" i="6"/>
  <c r="B674" i="6"/>
  <c r="B673" i="6"/>
  <c r="B672" i="6"/>
  <c r="B671" i="6"/>
  <c r="B670" i="6"/>
  <c r="B669" i="6"/>
  <c r="B668" i="6"/>
  <c r="B667" i="6"/>
  <c r="B666" i="6"/>
  <c r="B665" i="6"/>
  <c r="B664" i="6"/>
  <c r="B663" i="6"/>
  <c r="B662" i="6"/>
  <c r="B661" i="6"/>
  <c r="B660" i="6"/>
  <c r="B659" i="6"/>
  <c r="B658" i="6"/>
  <c r="B657" i="6"/>
  <c r="B656" i="6"/>
  <c r="B655" i="6"/>
  <c r="B654" i="6"/>
  <c r="B653" i="6"/>
  <c r="B652" i="6"/>
  <c r="B651" i="6"/>
  <c r="B650" i="6"/>
  <c r="B649" i="6"/>
  <c r="B648" i="6"/>
  <c r="B647" i="6"/>
  <c r="B646" i="6"/>
  <c r="B645" i="6"/>
  <c r="B644" i="6"/>
  <c r="B643" i="6"/>
  <c r="B642" i="6"/>
  <c r="B641" i="6"/>
  <c r="B640" i="6"/>
  <c r="B639" i="6"/>
  <c r="B638" i="6"/>
  <c r="B637" i="6"/>
  <c r="B636" i="6"/>
  <c r="B635" i="6"/>
  <c r="B634" i="6"/>
  <c r="B633" i="6"/>
  <c r="B632" i="6"/>
  <c r="B631" i="6"/>
  <c r="B630" i="6"/>
  <c r="B629" i="6"/>
  <c r="B628" i="6"/>
  <c r="B627" i="6"/>
  <c r="B626" i="6"/>
  <c r="B625" i="6"/>
  <c r="B624" i="6"/>
  <c r="B623" i="6"/>
  <c r="B622" i="6"/>
  <c r="B621" i="6"/>
  <c r="B620" i="6"/>
  <c r="B619" i="6"/>
  <c r="B618" i="6"/>
  <c r="B617" i="6"/>
  <c r="B616" i="6"/>
  <c r="B615" i="6"/>
  <c r="B614" i="6"/>
  <c r="B613" i="6"/>
  <c r="B612" i="6"/>
  <c r="B611" i="6"/>
  <c r="B610" i="6"/>
  <c r="B609" i="6"/>
  <c r="B608" i="6"/>
  <c r="B607" i="6"/>
  <c r="B606" i="6"/>
  <c r="B605" i="6"/>
  <c r="B604" i="6"/>
  <c r="B603" i="6"/>
  <c r="B602" i="6"/>
  <c r="B601" i="6"/>
  <c r="B600" i="6"/>
  <c r="B599" i="6"/>
  <c r="B598" i="6"/>
  <c r="B597" i="6"/>
  <c r="B596" i="6"/>
  <c r="B595" i="6"/>
  <c r="B594" i="6"/>
  <c r="B593" i="6"/>
  <c r="B592" i="6"/>
  <c r="B591" i="6"/>
  <c r="B590" i="6"/>
  <c r="B589" i="6"/>
  <c r="B588" i="6"/>
  <c r="B587" i="6"/>
  <c r="B586" i="6"/>
  <c r="B585" i="6"/>
  <c r="B584" i="6"/>
  <c r="B583" i="6"/>
  <c r="B582" i="6"/>
  <c r="B581" i="6"/>
  <c r="B580" i="6"/>
  <c r="B579" i="6"/>
  <c r="B578" i="6"/>
  <c r="B577" i="6"/>
  <c r="B576" i="6"/>
  <c r="B575" i="6"/>
  <c r="B574" i="6"/>
  <c r="B573" i="6"/>
  <c r="B572" i="6"/>
  <c r="B571" i="6"/>
  <c r="B570" i="6"/>
  <c r="B569" i="6"/>
  <c r="B568" i="6"/>
  <c r="B567" i="6"/>
  <c r="B566" i="6"/>
  <c r="B565" i="6"/>
  <c r="B564" i="6"/>
  <c r="B563" i="6"/>
  <c r="B562" i="6"/>
  <c r="B561" i="6"/>
  <c r="B560" i="6"/>
  <c r="B559" i="6"/>
  <c r="B558" i="6"/>
  <c r="B557" i="6"/>
  <c r="B556" i="6"/>
  <c r="B555" i="6"/>
  <c r="B554" i="6"/>
  <c r="B553" i="6"/>
  <c r="B552" i="6"/>
  <c r="B551" i="6"/>
  <c r="B550" i="6"/>
  <c r="B549" i="6"/>
  <c r="B548" i="6"/>
  <c r="B547" i="6"/>
  <c r="B546" i="6"/>
  <c r="B545" i="6"/>
  <c r="B544" i="6"/>
  <c r="B543" i="6"/>
  <c r="B542" i="6"/>
  <c r="B541" i="6"/>
  <c r="B540" i="6"/>
  <c r="B539" i="6"/>
  <c r="B538" i="6"/>
  <c r="B537" i="6"/>
  <c r="B536" i="6"/>
  <c r="B535" i="6"/>
  <c r="B534" i="6"/>
  <c r="B533" i="6"/>
  <c r="B532" i="6"/>
  <c r="B531" i="6"/>
  <c r="B530" i="6"/>
  <c r="B529" i="6"/>
  <c r="B528" i="6"/>
  <c r="B527" i="6"/>
  <c r="B526" i="6"/>
  <c r="B525" i="6"/>
  <c r="B524" i="6"/>
  <c r="B523" i="6"/>
  <c r="B522" i="6"/>
  <c r="B521" i="6"/>
  <c r="B520" i="6"/>
  <c r="B519" i="6"/>
  <c r="B518" i="6"/>
  <c r="B517" i="6"/>
  <c r="B516" i="6"/>
  <c r="B515" i="6"/>
  <c r="B514" i="6"/>
  <c r="B513" i="6"/>
  <c r="B512" i="6"/>
  <c r="B511" i="6"/>
  <c r="B510" i="6"/>
  <c r="B509" i="6"/>
  <c r="B508" i="6"/>
  <c r="B507" i="6"/>
  <c r="B506" i="6"/>
  <c r="B505" i="6"/>
  <c r="B504" i="6"/>
  <c r="B503" i="6"/>
  <c r="B502" i="6"/>
  <c r="B501" i="6"/>
  <c r="B500" i="6"/>
  <c r="B499" i="6"/>
  <c r="B498" i="6"/>
  <c r="B497" i="6"/>
  <c r="B496" i="6"/>
  <c r="B495" i="6"/>
  <c r="B494" i="6"/>
  <c r="B493" i="6"/>
  <c r="B492" i="6"/>
  <c r="B491" i="6"/>
  <c r="B490" i="6"/>
  <c r="B489" i="6"/>
  <c r="B488" i="6"/>
  <c r="B487" i="6"/>
  <c r="B486" i="6"/>
  <c r="B485" i="6"/>
  <c r="B484" i="6"/>
  <c r="B483" i="6"/>
  <c r="B482" i="6"/>
  <c r="B481" i="6"/>
  <c r="B480" i="6"/>
  <c r="B479" i="6"/>
  <c r="B478" i="6"/>
  <c r="B477" i="6"/>
  <c r="B476" i="6"/>
  <c r="B475" i="6"/>
  <c r="B474" i="6"/>
  <c r="B473" i="6"/>
  <c r="B472" i="6"/>
  <c r="B471" i="6"/>
  <c r="B470" i="6"/>
  <c r="B469" i="6"/>
  <c r="B468" i="6"/>
  <c r="B467" i="6"/>
  <c r="B466" i="6"/>
  <c r="B465" i="6"/>
  <c r="B464" i="6"/>
  <c r="B463" i="6"/>
  <c r="B462" i="6"/>
  <c r="B461" i="6"/>
  <c r="B460" i="6"/>
  <c r="B459" i="6"/>
  <c r="B458" i="6"/>
  <c r="B457" i="6"/>
  <c r="B456" i="6"/>
  <c r="B455" i="6"/>
  <c r="B454" i="6"/>
  <c r="B453" i="6"/>
  <c r="B452" i="6"/>
  <c r="B451" i="6"/>
  <c r="B450" i="6"/>
  <c r="B449" i="6"/>
  <c r="B448" i="6"/>
  <c r="B447" i="6"/>
  <c r="B446" i="6"/>
  <c r="B445" i="6"/>
  <c r="B444" i="6"/>
  <c r="B443" i="6"/>
  <c r="B442" i="6"/>
  <c r="B441" i="6"/>
  <c r="B440" i="6"/>
  <c r="B439" i="6"/>
  <c r="B438" i="6"/>
  <c r="B437" i="6"/>
  <c r="B436" i="6"/>
  <c r="B435" i="6"/>
  <c r="B434" i="6"/>
  <c r="B433" i="6"/>
  <c r="B432" i="6"/>
  <c r="B431" i="6"/>
  <c r="B430" i="6"/>
  <c r="B429" i="6"/>
  <c r="B428" i="6"/>
  <c r="B427" i="6"/>
  <c r="B426" i="6"/>
  <c r="B425" i="6"/>
  <c r="B424" i="6"/>
  <c r="B423" i="6"/>
  <c r="B422" i="6"/>
  <c r="B421" i="6"/>
  <c r="B420" i="6"/>
  <c r="B419" i="6"/>
  <c r="B418" i="6"/>
  <c r="B417" i="6"/>
  <c r="B416" i="6"/>
  <c r="B415" i="6"/>
  <c r="B414" i="6"/>
  <c r="B413" i="6"/>
  <c r="B412" i="6"/>
  <c r="B411" i="6"/>
  <c r="B410" i="6"/>
  <c r="B409" i="6"/>
  <c r="B408" i="6"/>
  <c r="B407" i="6"/>
  <c r="B406" i="6"/>
  <c r="B405" i="6"/>
  <c r="B404" i="6"/>
  <c r="B403" i="6"/>
  <c r="B402" i="6"/>
  <c r="B401" i="6"/>
  <c r="B400" i="6"/>
  <c r="B399" i="6"/>
  <c r="B398" i="6"/>
  <c r="B397" i="6"/>
  <c r="B396" i="6"/>
  <c r="B395" i="6"/>
  <c r="B394" i="6"/>
  <c r="B393" i="6"/>
  <c r="B392" i="6"/>
  <c r="B391" i="6"/>
  <c r="B390" i="6"/>
  <c r="B389" i="6"/>
  <c r="B388" i="6"/>
  <c r="B387" i="6"/>
  <c r="B386" i="6"/>
  <c r="B385" i="6"/>
  <c r="B384" i="6"/>
  <c r="B383" i="6"/>
  <c r="B382" i="6"/>
  <c r="B381" i="6"/>
  <c r="B380" i="6"/>
  <c r="B379" i="6"/>
  <c r="B378" i="6"/>
  <c r="B377" i="6"/>
  <c r="B376" i="6"/>
  <c r="B375" i="6"/>
  <c r="B374" i="6"/>
  <c r="B373" i="6"/>
  <c r="B372" i="6"/>
  <c r="B371" i="6"/>
  <c r="B370" i="6"/>
  <c r="B369" i="6"/>
  <c r="B368" i="6"/>
  <c r="B367" i="6"/>
  <c r="B366" i="6"/>
  <c r="B365" i="6"/>
  <c r="B364" i="6"/>
  <c r="B363" i="6"/>
  <c r="B362" i="6"/>
  <c r="B361" i="6"/>
  <c r="B360" i="6"/>
  <c r="B359" i="6"/>
  <c r="B358" i="6"/>
  <c r="B357" i="6"/>
  <c r="B356" i="6"/>
  <c r="B355" i="6"/>
  <c r="B354" i="6"/>
  <c r="B353" i="6"/>
  <c r="B352" i="6"/>
  <c r="B351" i="6"/>
  <c r="B350" i="6"/>
  <c r="B349" i="6"/>
  <c r="B348" i="6"/>
  <c r="B347" i="6"/>
  <c r="B346" i="6"/>
  <c r="B345" i="6"/>
  <c r="B344" i="6"/>
  <c r="B343" i="6"/>
  <c r="B342" i="6"/>
  <c r="B341" i="6"/>
  <c r="B340" i="6"/>
  <c r="B339" i="6"/>
  <c r="B338" i="6"/>
  <c r="B337" i="6"/>
  <c r="B336" i="6"/>
  <c r="B335" i="6"/>
  <c r="B334" i="6"/>
  <c r="B333" i="6"/>
  <c r="B332" i="6"/>
  <c r="B331" i="6"/>
  <c r="B330" i="6"/>
  <c r="B329" i="6"/>
  <c r="B328" i="6"/>
  <c r="B327" i="6"/>
  <c r="B326" i="6"/>
  <c r="B325" i="6"/>
  <c r="B324" i="6"/>
  <c r="B323" i="6"/>
  <c r="B322" i="6"/>
  <c r="B321" i="6"/>
  <c r="B320" i="6"/>
  <c r="B319" i="6"/>
  <c r="B318" i="6"/>
  <c r="B317" i="6"/>
  <c r="B316" i="6"/>
  <c r="B315" i="6"/>
  <c r="B314" i="6"/>
  <c r="B313" i="6"/>
  <c r="B312" i="6"/>
  <c r="B311" i="6"/>
  <c r="B310" i="6"/>
  <c r="B309" i="6"/>
  <c r="B308" i="6"/>
  <c r="B307" i="6"/>
  <c r="B306" i="6"/>
  <c r="B305" i="6"/>
  <c r="B304" i="6"/>
  <c r="B303" i="6"/>
  <c r="B302" i="6"/>
  <c r="B301" i="6"/>
  <c r="B300" i="6"/>
  <c r="B299" i="6"/>
  <c r="B298" i="6"/>
  <c r="B297" i="6"/>
  <c r="B296" i="6"/>
  <c r="B295" i="6"/>
  <c r="B294" i="6"/>
  <c r="B293" i="6"/>
  <c r="B292" i="6"/>
  <c r="B291" i="6"/>
  <c r="B290" i="6"/>
  <c r="B289" i="6"/>
  <c r="B288" i="6"/>
  <c r="B287" i="6"/>
  <c r="B286" i="6"/>
  <c r="B285" i="6"/>
  <c r="B284" i="6"/>
  <c r="B283" i="6"/>
  <c r="B282" i="6"/>
  <c r="B281" i="6"/>
  <c r="B280" i="6"/>
  <c r="B279" i="6"/>
  <c r="B278" i="6"/>
  <c r="B277" i="6"/>
  <c r="B276" i="6"/>
  <c r="B275" i="6"/>
  <c r="B274" i="6"/>
  <c r="B273" i="6"/>
  <c r="B272" i="6"/>
  <c r="B271" i="6"/>
  <c r="B270" i="6"/>
  <c r="B269" i="6"/>
  <c r="B268" i="6"/>
  <c r="B267" i="6"/>
  <c r="B266" i="6"/>
  <c r="B265" i="6"/>
  <c r="B264" i="6"/>
  <c r="B263" i="6"/>
  <c r="B262" i="6"/>
  <c r="B261" i="6"/>
  <c r="B260" i="6"/>
  <c r="B259" i="6"/>
  <c r="B258" i="6"/>
  <c r="B257" i="6"/>
  <c r="B256" i="6"/>
  <c r="B255" i="6"/>
  <c r="B254" i="6"/>
  <c r="B253" i="6"/>
  <c r="B252" i="6"/>
  <c r="B251" i="6"/>
  <c r="B250" i="6"/>
  <c r="B249" i="6"/>
  <c r="B248" i="6"/>
  <c r="B247" i="6"/>
  <c r="B246" i="6"/>
  <c r="B245" i="6"/>
  <c r="B244" i="6"/>
  <c r="B243" i="6"/>
  <c r="B242" i="6"/>
  <c r="B241" i="6"/>
  <c r="B240" i="6"/>
  <c r="B239" i="6"/>
  <c r="B238" i="6"/>
  <c r="B237" i="6"/>
  <c r="B236" i="6"/>
  <c r="B235" i="6"/>
  <c r="B234" i="6"/>
  <c r="B233" i="6"/>
  <c r="B232" i="6"/>
  <c r="B231" i="6"/>
  <c r="B230" i="6"/>
  <c r="B229" i="6"/>
  <c r="B228" i="6"/>
  <c r="B227" i="6"/>
  <c r="B226" i="6"/>
  <c r="B225" i="6"/>
  <c r="B224" i="6"/>
  <c r="B223" i="6"/>
  <c r="B222" i="6"/>
  <c r="B221" i="6"/>
  <c r="B220" i="6"/>
  <c r="B219" i="6"/>
  <c r="B218" i="6"/>
  <c r="B217" i="6"/>
  <c r="B216" i="6"/>
  <c r="B215" i="6"/>
  <c r="B214" i="6"/>
  <c r="B213" i="6"/>
  <c r="B212" i="6"/>
  <c r="B211" i="6"/>
  <c r="B210" i="6"/>
  <c r="B209" i="6"/>
  <c r="B208" i="6"/>
  <c r="B207" i="6"/>
  <c r="B206" i="6"/>
  <c r="B205" i="6"/>
  <c r="B204" i="6"/>
  <c r="B203" i="6"/>
  <c r="B202" i="6"/>
  <c r="B201" i="6"/>
  <c r="B200" i="6"/>
  <c r="B199" i="6"/>
  <c r="B198" i="6"/>
  <c r="B197" i="6"/>
  <c r="B196" i="6"/>
  <c r="B195" i="6"/>
  <c r="B194" i="6"/>
  <c r="B193" i="6"/>
  <c r="B192" i="6"/>
  <c r="B191" i="6"/>
  <c r="B190" i="6"/>
  <c r="B189" i="6"/>
  <c r="B188" i="6"/>
  <c r="B187" i="6"/>
  <c r="B186" i="6"/>
  <c r="B185" i="6"/>
  <c r="B184" i="6"/>
  <c r="B183" i="6"/>
  <c r="B182" i="6"/>
  <c r="B181" i="6"/>
  <c r="B180" i="6"/>
  <c r="B179" i="6"/>
  <c r="B178" i="6"/>
  <c r="B177" i="6"/>
  <c r="B176" i="6"/>
  <c r="B175" i="6"/>
  <c r="B174" i="6"/>
  <c r="B173" i="6"/>
  <c r="B172" i="6"/>
  <c r="B171" i="6"/>
  <c r="B170" i="6"/>
  <c r="B169" i="6"/>
  <c r="B168" i="6"/>
  <c r="B167" i="6"/>
  <c r="B166" i="6"/>
  <c r="B165" i="6"/>
  <c r="B164" i="6"/>
  <c r="B163" i="6"/>
  <c r="B162" i="6"/>
  <c r="B161" i="6"/>
  <c r="B160" i="6"/>
  <c r="B159" i="6"/>
  <c r="B158" i="6"/>
  <c r="B157" i="6"/>
  <c r="B156" i="6"/>
  <c r="B155" i="6"/>
  <c r="B154" i="6"/>
  <c r="B153" i="6"/>
  <c r="B152" i="6"/>
  <c r="B151" i="6"/>
  <c r="B150" i="6"/>
  <c r="B149" i="6"/>
  <c r="B148" i="6"/>
  <c r="B147" i="6"/>
  <c r="B146" i="6"/>
  <c r="B145" i="6"/>
  <c r="B144" i="6"/>
  <c r="B143" i="6"/>
  <c r="B142" i="6"/>
  <c r="B141" i="6"/>
  <c r="B140" i="6"/>
  <c r="B139" i="6"/>
  <c r="B138" i="6"/>
  <c r="B137" i="6"/>
  <c r="B136" i="6"/>
  <c r="B135" i="6"/>
  <c r="B134" i="6"/>
  <c r="B133" i="6"/>
  <c r="B132" i="6"/>
  <c r="B131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2" i="6"/>
  <c r="B111" i="6"/>
  <c r="B110" i="6"/>
  <c r="B109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H37" i="4" l="1"/>
  <c r="H145" i="4" s="1"/>
  <c r="L131" i="1" s="1"/>
  <c r="G145" i="4"/>
  <c r="J131" i="1" s="1"/>
  <c r="H62" i="4"/>
  <c r="W64" i="4"/>
  <c r="X64" i="4"/>
  <c r="U64" i="4"/>
  <c r="V64" i="4"/>
  <c r="T64" i="4"/>
  <c r="O64" i="4"/>
  <c r="R64" i="4"/>
  <c r="Q64" i="4"/>
  <c r="P64" i="4"/>
  <c r="N64" i="4"/>
  <c r="R8" i="6"/>
  <c r="P8" i="6"/>
  <c r="R6" i="6"/>
  <c r="P5" i="6"/>
  <c r="R3" i="6"/>
  <c r="R7" i="6"/>
  <c r="P6" i="6"/>
  <c r="R4" i="6"/>
  <c r="P3" i="6"/>
  <c r="P7" i="6"/>
  <c r="R5" i="6"/>
  <c r="P4" i="6"/>
  <c r="C103" i="4"/>
  <c r="B103" i="4"/>
  <c r="D101" i="4"/>
  <c r="L101" i="4" s="1"/>
  <c r="D100" i="4"/>
  <c r="L100" i="4" s="1"/>
  <c r="D77" i="4"/>
  <c r="D68" i="4"/>
  <c r="D66" i="4"/>
  <c r="D99" i="4"/>
  <c r="L99" i="4" s="1"/>
  <c r="D98" i="4"/>
  <c r="L98" i="4" s="1"/>
  <c r="D97" i="4"/>
  <c r="D96" i="4"/>
  <c r="D95" i="4"/>
  <c r="D94" i="4"/>
  <c r="L94" i="4" s="1"/>
  <c r="D93" i="4"/>
  <c r="L93" i="4" s="1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C64" i="4"/>
  <c r="B64" i="4"/>
  <c r="D62" i="4"/>
  <c r="D63" i="4"/>
  <c r="D57" i="4"/>
  <c r="K4" i="6" l="1"/>
  <c r="K6" i="6" s="1"/>
  <c r="F97" i="4"/>
  <c r="J97" i="4" s="1"/>
  <c r="G89" i="4"/>
  <c r="K89" i="4" s="1"/>
  <c r="F92" i="4"/>
  <c r="J92" i="4" s="1"/>
  <c r="F84" i="4"/>
  <c r="J84" i="4" s="1"/>
  <c r="G84" i="4"/>
  <c r="K84" i="4" s="1"/>
  <c r="F96" i="4"/>
  <c r="J96" i="4" s="1"/>
  <c r="F90" i="4"/>
  <c r="J90" i="4" s="1"/>
  <c r="F89" i="4"/>
  <c r="F82" i="4"/>
  <c r="G97" i="4"/>
  <c r="K97" i="4" s="1"/>
  <c r="G92" i="4"/>
  <c r="K92" i="4" s="1"/>
  <c r="G96" i="4"/>
  <c r="K96" i="4" s="1"/>
  <c r="G90" i="4"/>
  <c r="K90" i="4" s="1"/>
  <c r="G82" i="4"/>
  <c r="K82" i="4" s="1"/>
  <c r="P9" i="6"/>
  <c r="R9" i="6"/>
  <c r="L62" i="4"/>
  <c r="F81" i="4"/>
  <c r="J81" i="4" s="1"/>
  <c r="G95" i="4"/>
  <c r="K95" i="4" s="1"/>
  <c r="F80" i="4"/>
  <c r="J80" i="4" s="1"/>
  <c r="F85" i="4"/>
  <c r="J85" i="4" s="1"/>
  <c r="F79" i="4"/>
  <c r="J79" i="4" s="1"/>
  <c r="F60" i="4"/>
  <c r="G57" i="4"/>
  <c r="K57" i="4" s="1"/>
  <c r="M64" i="4"/>
  <c r="F63" i="4"/>
  <c r="F64" i="4" s="1"/>
  <c r="J64" i="4" s="1"/>
  <c r="G60" i="4"/>
  <c r="G86" i="4"/>
  <c r="K86" i="4" s="1"/>
  <c r="G78" i="4"/>
  <c r="K78" i="4" s="1"/>
  <c r="F91" i="4"/>
  <c r="J91" i="4" s="1"/>
  <c r="F68" i="4"/>
  <c r="N103" i="4"/>
  <c r="F95" i="4"/>
  <c r="G66" i="4"/>
  <c r="K66" i="4" s="1"/>
  <c r="F56" i="4"/>
  <c r="G80" i="4"/>
  <c r="K80" i="4" s="1"/>
  <c r="F57" i="4"/>
  <c r="J57" i="4" s="1"/>
  <c r="G85" i="4"/>
  <c r="K85" i="4" s="1"/>
  <c r="F55" i="4"/>
  <c r="I100" i="1" s="1"/>
  <c r="F54" i="4"/>
  <c r="I93" i="1" s="1"/>
  <c r="G79" i="4"/>
  <c r="K79" i="4" s="1"/>
  <c r="G81" i="4"/>
  <c r="K81" i="4" s="1"/>
  <c r="F77" i="4"/>
  <c r="J77" i="4" s="1"/>
  <c r="F83" i="4"/>
  <c r="J83" i="4" s="1"/>
  <c r="G55" i="4"/>
  <c r="M100" i="1" s="1"/>
  <c r="F87" i="4"/>
  <c r="S58" i="4"/>
  <c r="G54" i="4"/>
  <c r="M91" i="1" s="1"/>
  <c r="W58" i="4"/>
  <c r="W72" i="4" s="1"/>
  <c r="Q103" i="4"/>
  <c r="S103" i="4"/>
  <c r="G77" i="4"/>
  <c r="K77" i="4" s="1"/>
  <c r="X103" i="4"/>
  <c r="S64" i="4"/>
  <c r="G63" i="4"/>
  <c r="G64" i="4" s="1"/>
  <c r="K64" i="4" s="1"/>
  <c r="F66" i="4"/>
  <c r="J66" i="4" s="1"/>
  <c r="G56" i="4"/>
  <c r="F86" i="4"/>
  <c r="J86" i="4" s="1"/>
  <c r="G83" i="4"/>
  <c r="K83" i="4" s="1"/>
  <c r="F78" i="4"/>
  <c r="J78" i="4" s="1"/>
  <c r="G91" i="4"/>
  <c r="K91" i="4" s="1"/>
  <c r="G87" i="4"/>
  <c r="K87" i="4" s="1"/>
  <c r="V58" i="4"/>
  <c r="V72" i="4" s="1"/>
  <c r="F88" i="4"/>
  <c r="J88" i="4" s="1"/>
  <c r="G88" i="4"/>
  <c r="K88" i="4" s="1"/>
  <c r="G68" i="4"/>
  <c r="K68" i="4" s="1"/>
  <c r="D103" i="4"/>
  <c r="U58" i="4"/>
  <c r="U72" i="4" s="1"/>
  <c r="M103" i="4"/>
  <c r="R103" i="4"/>
  <c r="V103" i="4"/>
  <c r="W103" i="4"/>
  <c r="M58" i="4"/>
  <c r="O58" i="4"/>
  <c r="O72" i="4" s="1"/>
  <c r="T58" i="4"/>
  <c r="T72" i="4" s="1"/>
  <c r="U103" i="4"/>
  <c r="N58" i="4"/>
  <c r="N72" i="4" s="1"/>
  <c r="Q58" i="4"/>
  <c r="O103" i="4"/>
  <c r="P103" i="4"/>
  <c r="T103" i="4"/>
  <c r="P58" i="4"/>
  <c r="P72" i="4" s="1"/>
  <c r="R58" i="4"/>
  <c r="R72" i="4" s="1"/>
  <c r="X58" i="4"/>
  <c r="X72" i="4" s="1"/>
  <c r="D64" i="4"/>
  <c r="H18" i="4"/>
  <c r="D56" i="4"/>
  <c r="D16" i="4"/>
  <c r="C17" i="4"/>
  <c r="C18" i="4" s="1"/>
  <c r="B17" i="4"/>
  <c r="H84" i="4" l="1"/>
  <c r="L84" i="4" s="1"/>
  <c r="H92" i="4"/>
  <c r="L92" i="4" s="1"/>
  <c r="H90" i="4"/>
  <c r="L90" i="4" s="1"/>
  <c r="H97" i="4"/>
  <c r="L97" i="4" s="1"/>
  <c r="J89" i="4"/>
  <c r="H89" i="4"/>
  <c r="L89" i="4" s="1"/>
  <c r="H96" i="4"/>
  <c r="L96" i="4" s="1"/>
  <c r="J82" i="4"/>
  <c r="H82" i="4"/>
  <c r="L82" i="4" s="1"/>
  <c r="K56" i="4"/>
  <c r="M98" i="1"/>
  <c r="J56" i="4"/>
  <c r="I98" i="1"/>
  <c r="K18" i="4"/>
  <c r="L28" i="1"/>
  <c r="B18" i="4"/>
  <c r="K28" i="1" s="1"/>
  <c r="D17" i="4"/>
  <c r="D18" i="4" s="1"/>
  <c r="L18" i="4" s="1"/>
  <c r="H78" i="4"/>
  <c r="L78" i="4" s="1"/>
  <c r="W107" i="4"/>
  <c r="W168" i="4" s="1"/>
  <c r="H85" i="4"/>
  <c r="L85" i="4" s="1"/>
  <c r="H60" i="4"/>
  <c r="H79" i="4"/>
  <c r="L79" i="4" s="1"/>
  <c r="J54" i="4"/>
  <c r="H95" i="4"/>
  <c r="L95" i="4" s="1"/>
  <c r="H86" i="4"/>
  <c r="L86" i="4" s="1"/>
  <c r="H80" i="4"/>
  <c r="L80" i="4" s="1"/>
  <c r="H77" i="4"/>
  <c r="L77" i="4" s="1"/>
  <c r="N107" i="4"/>
  <c r="N168" i="4" s="1"/>
  <c r="K63" i="4"/>
  <c r="H63" i="4"/>
  <c r="H64" i="4" s="1"/>
  <c r="L64" i="4" s="1"/>
  <c r="H54" i="4"/>
  <c r="F58" i="4"/>
  <c r="F72" i="4" s="1"/>
  <c r="H57" i="4"/>
  <c r="L57" i="4" s="1"/>
  <c r="J63" i="4"/>
  <c r="J95" i="4"/>
  <c r="H87" i="4"/>
  <c r="L87" i="4" s="1"/>
  <c r="H68" i="4"/>
  <c r="L68" i="4" s="1"/>
  <c r="G58" i="4"/>
  <c r="G72" i="4" s="1"/>
  <c r="H81" i="4"/>
  <c r="L81" i="4" s="1"/>
  <c r="R107" i="4"/>
  <c r="R168" i="4" s="1"/>
  <c r="H55" i="4"/>
  <c r="H56" i="4"/>
  <c r="L56" i="4" s="1"/>
  <c r="F103" i="4"/>
  <c r="J87" i="4"/>
  <c r="H88" i="4"/>
  <c r="L88" i="4" s="1"/>
  <c r="J68" i="4"/>
  <c r="H91" i="4"/>
  <c r="L91" i="4" s="1"/>
  <c r="H83" i="4"/>
  <c r="L83" i="4" s="1"/>
  <c r="H66" i="4"/>
  <c r="L66" i="4" s="1"/>
  <c r="P107" i="4"/>
  <c r="P168" i="4" s="1"/>
  <c r="G103" i="4"/>
  <c r="K103" i="4" s="1"/>
  <c r="M72" i="4"/>
  <c r="M107" i="4" s="1"/>
  <c r="M168" i="4" s="1"/>
  <c r="S72" i="4"/>
  <c r="Q72" i="4"/>
  <c r="Q107" i="4" s="1"/>
  <c r="Q168" i="4" s="1"/>
  <c r="U107" i="4"/>
  <c r="U168" i="4" s="1"/>
  <c r="X107" i="4"/>
  <c r="X168" i="4" s="1"/>
  <c r="T107" i="4"/>
  <c r="T168" i="4" s="1"/>
  <c r="V107" i="4"/>
  <c r="V168" i="4" s="1"/>
  <c r="O107" i="4"/>
  <c r="O168" i="4" s="1"/>
  <c r="I309" i="5"/>
  <c r="I308" i="5"/>
  <c r="I307" i="5"/>
  <c r="I306" i="5"/>
  <c r="I305" i="5"/>
  <c r="I304" i="5"/>
  <c r="I303" i="5"/>
  <c r="I302" i="5"/>
  <c r="I301" i="5"/>
  <c r="I300" i="5"/>
  <c r="I299" i="5"/>
  <c r="I298" i="5"/>
  <c r="I297" i="5"/>
  <c r="I296" i="5"/>
  <c r="I295" i="5"/>
  <c r="I294" i="5"/>
  <c r="I293" i="5"/>
  <c r="I292" i="5"/>
  <c r="I291" i="5"/>
  <c r="I290" i="5"/>
  <c r="I289" i="5"/>
  <c r="I288" i="5"/>
  <c r="I287" i="5"/>
  <c r="I286" i="5"/>
  <c r="I285" i="5"/>
  <c r="I284" i="5"/>
  <c r="I283" i="5"/>
  <c r="I282" i="5"/>
  <c r="I281" i="5"/>
  <c r="I280" i="5"/>
  <c r="I279" i="5"/>
  <c r="I278" i="5"/>
  <c r="I277" i="5"/>
  <c r="I276" i="5"/>
  <c r="I275" i="5"/>
  <c r="I274" i="5"/>
  <c r="I273" i="5"/>
  <c r="I272" i="5"/>
  <c r="I271" i="5"/>
  <c r="I270" i="5"/>
  <c r="I269" i="5"/>
  <c r="I268" i="5"/>
  <c r="I267" i="5"/>
  <c r="I266" i="5"/>
  <c r="I265" i="5"/>
  <c r="I264" i="5"/>
  <c r="I263" i="5"/>
  <c r="I262" i="5"/>
  <c r="I261" i="5"/>
  <c r="I260" i="5"/>
  <c r="I259" i="5"/>
  <c r="I258" i="5"/>
  <c r="I257" i="5"/>
  <c r="I256" i="5"/>
  <c r="I255" i="5"/>
  <c r="I254" i="5"/>
  <c r="I253" i="5"/>
  <c r="I252" i="5"/>
  <c r="I251" i="5"/>
  <c r="I250" i="5"/>
  <c r="I249" i="5"/>
  <c r="I248" i="5"/>
  <c r="I247" i="5"/>
  <c r="I246" i="5"/>
  <c r="I245" i="5"/>
  <c r="I244" i="5"/>
  <c r="I243" i="5"/>
  <c r="I242" i="5"/>
  <c r="I241" i="5"/>
  <c r="I240" i="5"/>
  <c r="I239" i="5"/>
  <c r="I238" i="5"/>
  <c r="I237" i="5"/>
  <c r="I236" i="5"/>
  <c r="I235" i="5"/>
  <c r="I234" i="5"/>
  <c r="I233" i="5"/>
  <c r="I232" i="5"/>
  <c r="I231" i="5"/>
  <c r="I230" i="5"/>
  <c r="I229" i="5"/>
  <c r="I228" i="5"/>
  <c r="I227" i="5"/>
  <c r="I226" i="5"/>
  <c r="I225" i="5"/>
  <c r="I224" i="5"/>
  <c r="I223" i="5"/>
  <c r="I222" i="5"/>
  <c r="I221" i="5"/>
  <c r="I220" i="5"/>
  <c r="I219" i="5"/>
  <c r="I218" i="5"/>
  <c r="I217" i="5"/>
  <c r="I216" i="5"/>
  <c r="I215" i="5"/>
  <c r="I214" i="5"/>
  <c r="I213" i="5"/>
  <c r="I212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8" i="5"/>
  <c r="I197" i="5"/>
  <c r="I196" i="5"/>
  <c r="I195" i="5"/>
  <c r="I194" i="5"/>
  <c r="I193" i="5"/>
  <c r="I192" i="5"/>
  <c r="I191" i="5"/>
  <c r="I190" i="5"/>
  <c r="I189" i="5"/>
  <c r="I188" i="5"/>
  <c r="I187" i="5"/>
  <c r="I186" i="5"/>
  <c r="I185" i="5"/>
  <c r="I184" i="5"/>
  <c r="I183" i="5"/>
  <c r="I182" i="5"/>
  <c r="I181" i="5"/>
  <c r="I180" i="5"/>
  <c r="I179" i="5"/>
  <c r="I178" i="5"/>
  <c r="I177" i="5"/>
  <c r="I176" i="5"/>
  <c r="I175" i="5"/>
  <c r="I174" i="5"/>
  <c r="I173" i="5"/>
  <c r="I172" i="5"/>
  <c r="I171" i="5"/>
  <c r="I170" i="5"/>
  <c r="I169" i="5"/>
  <c r="I168" i="5"/>
  <c r="I167" i="5"/>
  <c r="I166" i="5"/>
  <c r="I165" i="5"/>
  <c r="I164" i="5"/>
  <c r="I163" i="5"/>
  <c r="I162" i="5"/>
  <c r="I161" i="5"/>
  <c r="I160" i="5"/>
  <c r="I159" i="5"/>
  <c r="I158" i="5"/>
  <c r="I157" i="5"/>
  <c r="I156" i="5"/>
  <c r="I155" i="5"/>
  <c r="I154" i="5"/>
  <c r="I153" i="5"/>
  <c r="I152" i="5"/>
  <c r="I151" i="5"/>
  <c r="I150" i="5"/>
  <c r="I149" i="5"/>
  <c r="I148" i="5"/>
  <c r="I147" i="5"/>
  <c r="I146" i="5"/>
  <c r="I145" i="5"/>
  <c r="I144" i="5"/>
  <c r="I143" i="5"/>
  <c r="I142" i="5"/>
  <c r="I141" i="5"/>
  <c r="I140" i="5"/>
  <c r="I139" i="5"/>
  <c r="I138" i="5"/>
  <c r="I137" i="5"/>
  <c r="I136" i="5"/>
  <c r="I135" i="5"/>
  <c r="I134" i="5"/>
  <c r="I133" i="5"/>
  <c r="I132" i="5"/>
  <c r="I131" i="5"/>
  <c r="I130" i="5"/>
  <c r="I129" i="5"/>
  <c r="I128" i="5"/>
  <c r="I127" i="5"/>
  <c r="I126" i="5"/>
  <c r="I125" i="5"/>
  <c r="I124" i="5"/>
  <c r="I123" i="5"/>
  <c r="I122" i="5"/>
  <c r="I121" i="5"/>
  <c r="I120" i="5"/>
  <c r="I119" i="5"/>
  <c r="I118" i="5"/>
  <c r="I117" i="5"/>
  <c r="I116" i="5"/>
  <c r="I115" i="5"/>
  <c r="I114" i="5"/>
  <c r="I113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3" i="5"/>
  <c r="I82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4" i="5"/>
  <c r="I53" i="5"/>
  <c r="I52" i="5"/>
  <c r="I51" i="5"/>
  <c r="I50" i="5"/>
  <c r="I49" i="5"/>
  <c r="I48" i="5"/>
  <c r="I47" i="5"/>
  <c r="I46" i="5"/>
  <c r="I45" i="5"/>
  <c r="I44" i="5"/>
  <c r="I43" i="5"/>
  <c r="I42" i="5"/>
  <c r="I41" i="5"/>
  <c r="I40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5" i="5"/>
  <c r="I14" i="5"/>
  <c r="I13" i="5"/>
  <c r="I12" i="5"/>
  <c r="I11" i="5"/>
  <c r="I10" i="5"/>
  <c r="CE9" i="5"/>
  <c r="X12" i="4" s="1"/>
  <c r="X14" i="4" s="1"/>
  <c r="CD9" i="5"/>
  <c r="BY9" i="5"/>
  <c r="W12" i="4" s="1"/>
  <c r="W14" i="4" s="1"/>
  <c r="BX9" i="5"/>
  <c r="BS9" i="5"/>
  <c r="V12" i="4" s="1"/>
  <c r="V14" i="4" s="1"/>
  <c r="BR9" i="5"/>
  <c r="BM9" i="5"/>
  <c r="U12" i="4" s="1"/>
  <c r="U14" i="4" s="1"/>
  <c r="BL9" i="5"/>
  <c r="BG9" i="5"/>
  <c r="T12" i="4" s="1"/>
  <c r="T14" i="4" s="1"/>
  <c r="BF9" i="5"/>
  <c r="BA9" i="5"/>
  <c r="AZ9" i="5"/>
  <c r="AU9" i="5"/>
  <c r="R12" i="4" s="1"/>
  <c r="R14" i="4" s="1"/>
  <c r="AT9" i="5"/>
  <c r="AO9" i="5"/>
  <c r="Q12" i="4" s="1"/>
  <c r="Q14" i="4" s="1"/>
  <c r="AN9" i="5"/>
  <c r="AI9" i="5"/>
  <c r="P12" i="4" s="1"/>
  <c r="P14" i="4" s="1"/>
  <c r="AH9" i="5"/>
  <c r="AC9" i="5"/>
  <c r="O12" i="4" s="1"/>
  <c r="O14" i="4" s="1"/>
  <c r="AB9" i="5"/>
  <c r="W9" i="5"/>
  <c r="N12" i="4" s="1"/>
  <c r="N14" i="4" s="1"/>
  <c r="V9" i="5"/>
  <c r="Q9" i="5"/>
  <c r="P9" i="5"/>
  <c r="R10" i="2"/>
  <c r="Q10" i="2"/>
  <c r="C27" i="4" s="1"/>
  <c r="P10" i="2"/>
  <c r="C7" i="4" s="1"/>
  <c r="I10" i="2"/>
  <c r="H10" i="2"/>
  <c r="B27" i="4" s="1"/>
  <c r="G10" i="2"/>
  <c r="B7" i="4" s="1"/>
  <c r="R6" i="2"/>
  <c r="Q6" i="2"/>
  <c r="P6" i="2" s="1"/>
  <c r="O6" i="2"/>
  <c r="R5" i="2"/>
  <c r="Q5" i="2"/>
  <c r="P5" i="2" s="1"/>
  <c r="O5" i="2"/>
  <c r="D6" i="2"/>
  <c r="D5" i="2"/>
  <c r="D4" i="2"/>
  <c r="D3" i="2"/>
  <c r="I6" i="2"/>
  <c r="I5" i="2"/>
  <c r="H6" i="2"/>
  <c r="H5" i="2"/>
  <c r="G5" i="2" s="1"/>
  <c r="F6" i="2"/>
  <c r="F5" i="2"/>
  <c r="B11" i="5"/>
  <c r="B10" i="5"/>
  <c r="G63" i="7" l="1"/>
  <c r="I63" i="7"/>
  <c r="B63" i="7"/>
  <c r="D63" i="7"/>
  <c r="J27" i="4"/>
  <c r="J29" i="4" s="1"/>
  <c r="E48" i="1"/>
  <c r="K27" i="4"/>
  <c r="F48" i="1"/>
  <c r="H72" i="4"/>
  <c r="H4" i="5"/>
  <c r="M12" i="4"/>
  <c r="S12" i="4"/>
  <c r="H5" i="5"/>
  <c r="N7" i="4"/>
  <c r="N10" i="4" s="1"/>
  <c r="V7" i="5"/>
  <c r="AH7" i="5"/>
  <c r="P7" i="4"/>
  <c r="P10" i="4" s="1"/>
  <c r="R7" i="4"/>
  <c r="R10" i="4" s="1"/>
  <c r="AT7" i="5"/>
  <c r="BF7" i="5"/>
  <c r="T7" i="4"/>
  <c r="T10" i="4" s="1"/>
  <c r="V7" i="4"/>
  <c r="V10" i="4" s="1"/>
  <c r="BR7" i="5"/>
  <c r="CD7" i="5"/>
  <c r="X7" i="4"/>
  <c r="X10" i="4" s="1"/>
  <c r="O7" i="2"/>
  <c r="M7" i="4"/>
  <c r="P7" i="5"/>
  <c r="D4" i="5"/>
  <c r="AB7" i="5"/>
  <c r="O7" i="4"/>
  <c r="O10" i="4" s="1"/>
  <c r="Q7" i="4"/>
  <c r="Q10" i="4" s="1"/>
  <c r="AN7" i="5"/>
  <c r="S7" i="4"/>
  <c r="D5" i="5"/>
  <c r="AZ7" i="5"/>
  <c r="U7" i="4"/>
  <c r="U10" i="4" s="1"/>
  <c r="BL7" i="5"/>
  <c r="BX7" i="5"/>
  <c r="W7" i="4"/>
  <c r="W10" i="4" s="1"/>
  <c r="I9" i="5"/>
  <c r="H3" i="5" s="1"/>
  <c r="D27" i="4"/>
  <c r="B29" i="4"/>
  <c r="J7" i="9"/>
  <c r="J47" i="9" s="1"/>
  <c r="G6" i="2"/>
  <c r="G7" i="2" s="1"/>
  <c r="G53" i="9" s="1"/>
  <c r="H53" i="9" s="1"/>
  <c r="S107" i="4"/>
  <c r="S168" i="4" s="1"/>
  <c r="Q7" i="2"/>
  <c r="E19" i="1" s="1"/>
  <c r="B12" i="4"/>
  <c r="B13" i="4" s="1"/>
  <c r="B14" i="4" s="1"/>
  <c r="K25" i="1"/>
  <c r="C12" i="4"/>
  <c r="C13" i="4" s="1"/>
  <c r="C14" i="4" s="1"/>
  <c r="L25" i="1"/>
  <c r="I6" i="7"/>
  <c r="J6" i="7" s="1"/>
  <c r="C55" i="4" s="1"/>
  <c r="J18" i="4"/>
  <c r="D6" i="7"/>
  <c r="E6" i="7" s="1"/>
  <c r="D7" i="4"/>
  <c r="B8" i="4"/>
  <c r="H58" i="4"/>
  <c r="L63" i="4"/>
  <c r="G107" i="4"/>
  <c r="G168" i="4" s="1"/>
  <c r="H103" i="4"/>
  <c r="L103" i="4" s="1"/>
  <c r="J103" i="4"/>
  <c r="F107" i="4"/>
  <c r="F168" i="4" s="1"/>
  <c r="I7" i="2"/>
  <c r="C8" i="4"/>
  <c r="C9" i="4" s="1"/>
  <c r="P7" i="2"/>
  <c r="G54" i="9" s="1"/>
  <c r="H54" i="9" s="1"/>
  <c r="F7" i="2"/>
  <c r="H7" i="2"/>
  <c r="D19" i="1" s="1"/>
  <c r="D7" i="2"/>
  <c r="R7" i="2"/>
  <c r="A12" i="2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  <c r="A151" i="2" s="1"/>
  <c r="A152" i="2" s="1"/>
  <c r="A153" i="2" s="1"/>
  <c r="A154" i="2" s="1"/>
  <c r="A155" i="2" s="1"/>
  <c r="A156" i="2" s="1"/>
  <c r="A157" i="2" s="1"/>
  <c r="A158" i="2" s="1"/>
  <c r="A159" i="2" s="1"/>
  <c r="A160" i="2" s="1"/>
  <c r="A161" i="2" s="1"/>
  <c r="A162" i="2" s="1"/>
  <c r="A163" i="2" s="1"/>
  <c r="A164" i="2" s="1"/>
  <c r="A165" i="2" s="1"/>
  <c r="A166" i="2" s="1"/>
  <c r="A167" i="2" s="1"/>
  <c r="A168" i="2" s="1"/>
  <c r="A169" i="2" s="1"/>
  <c r="A170" i="2" s="1"/>
  <c r="A171" i="2" s="1"/>
  <c r="A172" i="2" s="1"/>
  <c r="A173" i="2" s="1"/>
  <c r="A174" i="2" s="1"/>
  <c r="A175" i="2" s="1"/>
  <c r="A176" i="2" s="1"/>
  <c r="A177" i="2" s="1"/>
  <c r="A178" i="2" s="1"/>
  <c r="A179" i="2" s="1"/>
  <c r="A180" i="2" s="1"/>
  <c r="A181" i="2" s="1"/>
  <c r="A182" i="2" s="1"/>
  <c r="A183" i="2" s="1"/>
  <c r="A184" i="2" s="1"/>
  <c r="A185" i="2" s="1"/>
  <c r="A186" i="2" s="1"/>
  <c r="A187" i="2" s="1"/>
  <c r="A188" i="2" s="1"/>
  <c r="A189" i="2" s="1"/>
  <c r="A190" i="2" s="1"/>
  <c r="A191" i="2" s="1"/>
  <c r="A192" i="2" s="1"/>
  <c r="A193" i="2" s="1"/>
  <c r="A194" i="2" s="1"/>
  <c r="A195" i="2" s="1"/>
  <c r="A196" i="2" s="1"/>
  <c r="A197" i="2" s="1"/>
  <c r="A198" i="2" s="1"/>
  <c r="A199" i="2" s="1"/>
  <c r="A200" i="2" s="1"/>
  <c r="A201" i="2" s="1"/>
  <c r="A202" i="2" s="1"/>
  <c r="A203" i="2" s="1"/>
  <c r="A204" i="2" s="1"/>
  <c r="A205" i="2" s="1"/>
  <c r="A206" i="2" s="1"/>
  <c r="A207" i="2" s="1"/>
  <c r="A208" i="2" s="1"/>
  <c r="A209" i="2" s="1"/>
  <c r="A210" i="2" s="1"/>
  <c r="A211" i="2" s="1"/>
  <c r="A212" i="2" s="1"/>
  <c r="A213" i="2" s="1"/>
  <c r="A214" i="2" s="1"/>
  <c r="A215" i="2" s="1"/>
  <c r="A216" i="2" s="1"/>
  <c r="A217" i="2" s="1"/>
  <c r="A218" i="2" s="1"/>
  <c r="A219" i="2" s="1"/>
  <c r="A220" i="2" s="1"/>
  <c r="A221" i="2" s="1"/>
  <c r="A222" i="2" s="1"/>
  <c r="A223" i="2" s="1"/>
  <c r="A224" i="2" s="1"/>
  <c r="A225" i="2" s="1"/>
  <c r="A226" i="2" s="1"/>
  <c r="A227" i="2" s="1"/>
  <c r="A228" i="2" s="1"/>
  <c r="A229" i="2" s="1"/>
  <c r="A230" i="2" s="1"/>
  <c r="A231" i="2" s="1"/>
  <c r="A232" i="2" s="1"/>
  <c r="A233" i="2" s="1"/>
  <c r="A234" i="2" s="1"/>
  <c r="A235" i="2" s="1"/>
  <c r="A236" i="2" s="1"/>
  <c r="A237" i="2" s="1"/>
  <c r="A238" i="2" s="1"/>
  <c r="A239" i="2" s="1"/>
  <c r="A240" i="2" s="1"/>
  <c r="A241" i="2" s="1"/>
  <c r="A242" i="2" s="1"/>
  <c r="A243" i="2" s="1"/>
  <c r="A244" i="2" s="1"/>
  <c r="A245" i="2" s="1"/>
  <c r="A246" i="2" s="1"/>
  <c r="A247" i="2" s="1"/>
  <c r="A248" i="2" s="1"/>
  <c r="A249" i="2" s="1"/>
  <c r="A250" i="2" s="1"/>
  <c r="A251" i="2" s="1"/>
  <c r="A252" i="2" s="1"/>
  <c r="A253" i="2" s="1"/>
  <c r="A254" i="2" s="1"/>
  <c r="A255" i="2" s="1"/>
  <c r="A256" i="2" s="1"/>
  <c r="A257" i="2" s="1"/>
  <c r="A258" i="2" s="1"/>
  <c r="A259" i="2" s="1"/>
  <c r="A260" i="2" s="1"/>
  <c r="A261" i="2" s="1"/>
  <c r="A262" i="2" s="1"/>
  <c r="A263" i="2" s="1"/>
  <c r="A264" i="2" s="1"/>
  <c r="A265" i="2" s="1"/>
  <c r="A266" i="2" s="1"/>
  <c r="A267" i="2" s="1"/>
  <c r="A268" i="2" s="1"/>
  <c r="A269" i="2" s="1"/>
  <c r="A270" i="2" s="1"/>
  <c r="A271" i="2" s="1"/>
  <c r="A272" i="2" s="1"/>
  <c r="A273" i="2" s="1"/>
  <c r="A274" i="2" s="1"/>
  <c r="A275" i="2" s="1"/>
  <c r="A276" i="2" s="1"/>
  <c r="A277" i="2" s="1"/>
  <c r="A278" i="2" s="1"/>
  <c r="A279" i="2" s="1"/>
  <c r="A280" i="2" s="1"/>
  <c r="A281" i="2" s="1"/>
  <c r="A282" i="2" s="1"/>
  <c r="A283" i="2" s="1"/>
  <c r="A284" i="2" s="1"/>
  <c r="A285" i="2" s="1"/>
  <c r="A286" i="2" s="1"/>
  <c r="A287" i="2" s="1"/>
  <c r="A288" i="2" s="1"/>
  <c r="A289" i="2" s="1"/>
  <c r="A290" i="2" s="1"/>
  <c r="A291" i="2" s="1"/>
  <c r="A292" i="2" s="1"/>
  <c r="A293" i="2" s="1"/>
  <c r="A294" i="2" s="1"/>
  <c r="A295" i="2" s="1"/>
  <c r="A296" i="2" s="1"/>
  <c r="A297" i="2" s="1"/>
  <c r="A298" i="2" s="1"/>
  <c r="A299" i="2" s="1"/>
  <c r="A300" i="2" s="1"/>
  <c r="A301" i="2" s="1"/>
  <c r="A302" i="2" s="1"/>
  <c r="A303" i="2" s="1"/>
  <c r="A304" i="2" s="1"/>
  <c r="A305" i="2" s="1"/>
  <c r="A306" i="2" s="1"/>
  <c r="A307" i="2" s="1"/>
  <c r="A308" i="2" s="1"/>
  <c r="A309" i="2" s="1"/>
  <c r="A310" i="2" s="1"/>
  <c r="G62" i="7" l="1"/>
  <c r="I62" i="7"/>
  <c r="D62" i="7"/>
  <c r="B62" i="7"/>
  <c r="I9" i="7"/>
  <c r="J9" i="7" s="1"/>
  <c r="C60" i="4" s="1"/>
  <c r="K60" i="4" s="1"/>
  <c r="L27" i="4"/>
  <c r="H168" i="4"/>
  <c r="J50" i="9"/>
  <c r="M10" i="4"/>
  <c r="F7" i="4"/>
  <c r="F12" i="4"/>
  <c r="J12" i="4" s="1"/>
  <c r="M14" i="4"/>
  <c r="S14" i="4"/>
  <c r="G12" i="4"/>
  <c r="G14" i="4" s="1"/>
  <c r="L26" i="1" s="1"/>
  <c r="S10" i="4"/>
  <c r="G10" i="4" s="1"/>
  <c r="G7" i="4"/>
  <c r="D18" i="1"/>
  <c r="E24" i="7"/>
  <c r="E18" i="1"/>
  <c r="J24" i="7"/>
  <c r="D12" i="4"/>
  <c r="D13" i="4" s="1"/>
  <c r="D14" i="4" s="1"/>
  <c r="K55" i="4"/>
  <c r="L100" i="1"/>
  <c r="B9" i="4"/>
  <c r="B10" i="4" s="1"/>
  <c r="D8" i="4"/>
  <c r="D9" i="4" s="1"/>
  <c r="D10" i="4" s="1"/>
  <c r="B55" i="4"/>
  <c r="H100" i="1" s="1"/>
  <c r="P3" i="2"/>
  <c r="D9" i="7"/>
  <c r="E9" i="7" s="1"/>
  <c r="B60" i="4" s="1"/>
  <c r="C10" i="4"/>
  <c r="H107" i="4"/>
  <c r="E27" i="7" l="1"/>
  <c r="E29" i="7" s="1"/>
  <c r="M20" i="4"/>
  <c r="M167" i="4" s="1"/>
  <c r="J49" i="9"/>
  <c r="K49" i="9"/>
  <c r="K50" i="9"/>
  <c r="K10" i="4"/>
  <c r="F10" i="4"/>
  <c r="H10" i="4" s="1"/>
  <c r="K14" i="4"/>
  <c r="G8" i="4"/>
  <c r="K7" i="4"/>
  <c r="K8" i="4" s="1"/>
  <c r="K12" i="4"/>
  <c r="L12" i="4" s="1"/>
  <c r="F14" i="4"/>
  <c r="H12" i="4"/>
  <c r="H7" i="4"/>
  <c r="F8" i="4"/>
  <c r="J7" i="4"/>
  <c r="B70" i="4"/>
  <c r="J70" i="4" s="1"/>
  <c r="B31" i="4"/>
  <c r="C31" i="4"/>
  <c r="K31" i="4" s="1"/>
  <c r="C70" i="4"/>
  <c r="K70" i="4" s="1"/>
  <c r="B20" i="4"/>
  <c r="B58" i="4"/>
  <c r="J55" i="4"/>
  <c r="D55" i="4"/>
  <c r="L55" i="4" s="1"/>
  <c r="I3" i="7"/>
  <c r="D60" i="4"/>
  <c r="L60" i="4" s="1"/>
  <c r="J60" i="4"/>
  <c r="E30" i="7" l="1"/>
  <c r="E68" i="7" s="1"/>
  <c r="J3" i="7"/>
  <c r="J27" i="7" s="1"/>
  <c r="M74" i="4"/>
  <c r="M105" i="4" s="1"/>
  <c r="J10" i="4"/>
  <c r="L10" i="4" s="1"/>
  <c r="F20" i="4"/>
  <c r="K35" i="1" s="1"/>
  <c r="M109" i="4"/>
  <c r="N5" i="4" s="1"/>
  <c r="N20" i="4" s="1"/>
  <c r="N167" i="4" s="1"/>
  <c r="E66" i="7"/>
  <c r="L70" i="4"/>
  <c r="B37" i="4"/>
  <c r="J31" i="4"/>
  <c r="B72" i="4"/>
  <c r="D70" i="4"/>
  <c r="J8" i="4"/>
  <c r="L8" i="4" s="1"/>
  <c r="L7" i="4"/>
  <c r="H8" i="4"/>
  <c r="K26" i="1"/>
  <c r="H14" i="4"/>
  <c r="J14" i="4"/>
  <c r="L14" i="4" s="1"/>
  <c r="D31" i="4"/>
  <c r="K32" i="1"/>
  <c r="F3" i="6"/>
  <c r="E67" i="7"/>
  <c r="J58" i="4"/>
  <c r="K40" i="1" l="1"/>
  <c r="J29" i="7"/>
  <c r="J67" i="7" s="1"/>
  <c r="J30" i="7"/>
  <c r="J68" i="7" s="1"/>
  <c r="C54" i="4"/>
  <c r="J66" i="7"/>
  <c r="L66" i="7" s="1"/>
  <c r="L67" i="7" s="1"/>
  <c r="E65" i="1"/>
  <c r="I3" i="6"/>
  <c r="F109" i="4"/>
  <c r="F170" i="4" s="1"/>
  <c r="H137" i="1" s="1"/>
  <c r="M170" i="4"/>
  <c r="J20" i="4"/>
  <c r="K38" i="1" s="1"/>
  <c r="F74" i="4"/>
  <c r="F105" i="4" s="1"/>
  <c r="F167" i="4"/>
  <c r="F4" i="6"/>
  <c r="F6" i="6" s="1"/>
  <c r="B145" i="4"/>
  <c r="H130" i="1" s="1"/>
  <c r="N74" i="4"/>
  <c r="N105" i="4" s="1"/>
  <c r="N109" i="4"/>
  <c r="O5" i="4" s="1"/>
  <c r="O20" i="4" s="1"/>
  <c r="B167" i="4"/>
  <c r="B74" i="4"/>
  <c r="B107" i="4"/>
  <c r="B168" i="4" s="1"/>
  <c r="J168" i="4" s="1"/>
  <c r="J37" i="4"/>
  <c r="J145" i="4" s="1"/>
  <c r="L31" i="4"/>
  <c r="J72" i="4"/>
  <c r="L92" i="1" l="1"/>
  <c r="L91" i="1"/>
  <c r="C72" i="7"/>
  <c r="E72" i="7" s="1"/>
  <c r="H72" i="7"/>
  <c r="I72" i="7" s="1"/>
  <c r="K54" i="4"/>
  <c r="D54" i="4"/>
  <c r="L54" i="4" s="1"/>
  <c r="C58" i="4"/>
  <c r="C72" i="4" s="1"/>
  <c r="D72" i="4" s="1"/>
  <c r="G5" i="4"/>
  <c r="G20" i="4" s="1"/>
  <c r="G4" i="6" s="1"/>
  <c r="G6" i="6" s="1"/>
  <c r="H128" i="1"/>
  <c r="C5" i="4"/>
  <c r="J167" i="4"/>
  <c r="N170" i="4"/>
  <c r="O167" i="4"/>
  <c r="O109" i="4"/>
  <c r="P5" i="4" s="1"/>
  <c r="P20" i="4" s="1"/>
  <c r="O74" i="4"/>
  <c r="O105" i="4" s="1"/>
  <c r="B105" i="4"/>
  <c r="J105" i="4" s="1"/>
  <c r="J74" i="4"/>
  <c r="B109" i="4"/>
  <c r="H127" i="1" s="1"/>
  <c r="J107" i="4"/>
  <c r="J72" i="7" l="1"/>
  <c r="N72" i="7" s="1"/>
  <c r="D58" i="4"/>
  <c r="L58" i="4" s="1"/>
  <c r="L72" i="7"/>
  <c r="D72" i="7"/>
  <c r="M72" i="7" s="1"/>
  <c r="K58" i="4"/>
  <c r="C107" i="4"/>
  <c r="D107" i="4" s="1"/>
  <c r="H20" i="4"/>
  <c r="H4" i="6" s="1"/>
  <c r="H6" i="6" s="1"/>
  <c r="G109" i="4"/>
  <c r="J128" i="1" s="1"/>
  <c r="G74" i="4"/>
  <c r="G105" i="4" s="1"/>
  <c r="G167" i="4"/>
  <c r="H167" i="4" s="1"/>
  <c r="L35" i="1"/>
  <c r="O170" i="4"/>
  <c r="P167" i="4"/>
  <c r="P109" i="4"/>
  <c r="P170" i="4" s="1"/>
  <c r="P74" i="4"/>
  <c r="P105" i="4" s="1"/>
  <c r="B170" i="4"/>
  <c r="H136" i="1" s="1"/>
  <c r="C20" i="4"/>
  <c r="J109" i="4"/>
  <c r="J170" i="4" s="1"/>
  <c r="K72" i="4"/>
  <c r="H109" i="4" l="1"/>
  <c r="L128" i="1" s="1"/>
  <c r="G170" i="4"/>
  <c r="J137" i="1" s="1"/>
  <c r="H74" i="4"/>
  <c r="H105" i="4" s="1"/>
  <c r="Q5" i="4"/>
  <c r="Q20" i="4" s="1"/>
  <c r="Q167" i="4" s="1"/>
  <c r="K107" i="4"/>
  <c r="C168" i="4"/>
  <c r="L32" i="1"/>
  <c r="L40" i="1" s="1"/>
  <c r="D20" i="4"/>
  <c r="L72" i="4"/>
  <c r="C74" i="4"/>
  <c r="C109" i="4"/>
  <c r="J127" i="1" s="1"/>
  <c r="K20" i="4"/>
  <c r="L38" i="1" s="1"/>
  <c r="G3" i="6"/>
  <c r="H170" i="4" l="1"/>
  <c r="L137" i="1" s="1"/>
  <c r="D168" i="4"/>
  <c r="K168" i="4"/>
  <c r="L168" i="4" s="1"/>
  <c r="Q109" i="4"/>
  <c r="Q170" i="4" s="1"/>
  <c r="Q74" i="4"/>
  <c r="Q105" i="4" s="1"/>
  <c r="H3" i="6"/>
  <c r="L20" i="4"/>
  <c r="K109" i="4"/>
  <c r="D109" i="4"/>
  <c r="L127" i="1" s="1"/>
  <c r="L107" i="4"/>
  <c r="D74" i="4"/>
  <c r="C105" i="4"/>
  <c r="K105" i="4" s="1"/>
  <c r="K74" i="4"/>
  <c r="R5" i="4" l="1"/>
  <c r="R20" i="4" s="1"/>
  <c r="R167" i="4" s="1"/>
  <c r="L109" i="4"/>
  <c r="L74" i="4"/>
  <c r="D105" i="4"/>
  <c r="L105" i="4" s="1"/>
  <c r="R109" i="4" l="1"/>
  <c r="R170" i="4" s="1"/>
  <c r="R74" i="4"/>
  <c r="R105" i="4" s="1"/>
  <c r="S5" i="4" l="1"/>
  <c r="S20" i="4" s="1"/>
  <c r="S167" i="4" s="1"/>
  <c r="S74" i="4" l="1"/>
  <c r="S105" i="4" s="1"/>
  <c r="S109" i="4"/>
  <c r="S170" i="4" s="1"/>
  <c r="T5" i="4" l="1"/>
  <c r="T20" i="4" s="1"/>
  <c r="T74" i="4" s="1"/>
  <c r="T105" i="4" s="1"/>
  <c r="S10" i="2"/>
  <c r="C26" i="4" s="1"/>
  <c r="K26" i="4" s="1"/>
  <c r="T167" i="4" l="1"/>
  <c r="T109" i="4"/>
  <c r="U5" i="4" s="1"/>
  <c r="U20" i="4" s="1"/>
  <c r="L26" i="4"/>
  <c r="K29" i="4"/>
  <c r="D26" i="4"/>
  <c r="D29" i="4" s="1"/>
  <c r="C29" i="4"/>
  <c r="T170" i="4" l="1"/>
  <c r="U167" i="4"/>
  <c r="U74" i="4"/>
  <c r="U105" i="4" s="1"/>
  <c r="U109" i="4"/>
  <c r="L29" i="4"/>
  <c r="K37" i="4"/>
  <c r="C37" i="4"/>
  <c r="F65" i="1" s="1"/>
  <c r="J3" i="6" l="1"/>
  <c r="L37" i="4"/>
  <c r="L145" i="4" s="1"/>
  <c r="L170" i="4" s="1"/>
  <c r="K145" i="4"/>
  <c r="K170" i="4" s="1"/>
  <c r="V5" i="4"/>
  <c r="V20" i="4" s="1"/>
  <c r="U170" i="4"/>
  <c r="D37" i="4"/>
  <c r="C167" i="4"/>
  <c r="C145" i="4"/>
  <c r="D145" i="4" l="1"/>
  <c r="D170" i="4" s="1"/>
  <c r="L136" i="1" s="1"/>
  <c r="K3" i="6"/>
  <c r="C170" i="4"/>
  <c r="J136" i="1" s="1"/>
  <c r="J130" i="1"/>
  <c r="V167" i="4"/>
  <c r="V74" i="4"/>
  <c r="V105" i="4" s="1"/>
  <c r="V109" i="4"/>
  <c r="D167" i="4"/>
  <c r="K167" i="4"/>
  <c r="L167" i="4" s="1"/>
  <c r="L130" i="1" l="1"/>
  <c r="W5" i="4"/>
  <c r="W20" i="4" s="1"/>
  <c r="V170" i="4"/>
  <c r="W109" i="4" l="1"/>
  <c r="W167" i="4"/>
  <c r="W74" i="4"/>
  <c r="W105" i="4" s="1"/>
  <c r="X5" i="4" l="1"/>
  <c r="X20" i="4" s="1"/>
  <c r="W170" i="4"/>
  <c r="X74" i="4" l="1"/>
  <c r="X105" i="4" s="1"/>
  <c r="X167" i="4"/>
  <c r="X109" i="4"/>
  <c r="X170" i="4" s="1"/>
</calcChain>
</file>

<file path=xl/sharedStrings.xml><?xml version="1.0" encoding="utf-8"?>
<sst xmlns="http://schemas.openxmlformats.org/spreadsheetml/2006/main" count="1112" uniqueCount="702">
  <si>
    <t>Candidates</t>
  </si>
  <si>
    <t>Candidate</t>
  </si>
  <si>
    <t>Initiate</t>
  </si>
  <si>
    <t>Initiates</t>
  </si>
  <si>
    <t>Freshmen</t>
  </si>
  <si>
    <t>Past Dues Owed</t>
  </si>
  <si>
    <t>Fr</t>
  </si>
  <si>
    <t>Sr</t>
  </si>
  <si>
    <t>Jr</t>
  </si>
  <si>
    <t>FALL</t>
  </si>
  <si>
    <t>SPRING</t>
  </si>
  <si>
    <t>Dues Paid</t>
  </si>
  <si>
    <t>Past Dues Paid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</si>
  <si>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</si>
  <si>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</si>
  <si>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</si>
  <si>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</si>
  <si>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</si>
  <si>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</si>
  <si>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</si>
  <si>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</si>
  <si>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</si>
  <si>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June</t>
  </si>
  <si>
    <t>April</t>
  </si>
  <si>
    <t>May</t>
  </si>
  <si>
    <t>Treasurer</t>
  </si>
  <si>
    <t>Lt. Commander</t>
  </si>
  <si>
    <t>Graduated/Left</t>
  </si>
  <si>
    <t>Total Members</t>
  </si>
  <si>
    <t>Live In House</t>
  </si>
  <si>
    <t>Live Out of House</t>
  </si>
  <si>
    <t>Sophomore</t>
  </si>
  <si>
    <t>Junior</t>
  </si>
  <si>
    <t>Senior</t>
  </si>
  <si>
    <t>#</t>
  </si>
  <si>
    <t>ANNUAL MEMBERSHIP</t>
  </si>
  <si>
    <t>ANNUAL</t>
  </si>
  <si>
    <t>REVENUE</t>
  </si>
  <si>
    <t>CHAPTER OPERATIONS</t>
  </si>
  <si>
    <t>Member Dues Subtotal</t>
  </si>
  <si>
    <t>Beginning Bank Balance</t>
  </si>
  <si>
    <t>Member Dues Total</t>
  </si>
  <si>
    <t>Past Dues Owed Total</t>
  </si>
  <si>
    <t>Other Revenue Total</t>
  </si>
  <si>
    <t>TOTAL REVENUE</t>
  </si>
  <si>
    <t>EXPENSES</t>
  </si>
  <si>
    <t>Initiate Dues</t>
  </si>
  <si>
    <t>Risk Management</t>
  </si>
  <si>
    <t>Conclave Fee</t>
  </si>
  <si>
    <t>Previous Semester Membership</t>
  </si>
  <si>
    <t>GreekLifeEdu Surcharge</t>
  </si>
  <si>
    <t>BUDGET</t>
  </si>
  <si>
    <t>Sigma Nu Fraternity, Inc.-Total</t>
  </si>
  <si>
    <t>IFC/University Dues</t>
  </si>
  <si>
    <t>Accountant Fees</t>
  </si>
  <si>
    <t>Form 990 - CPA filing fee(s)</t>
  </si>
  <si>
    <t>Accountant Fees - Total</t>
  </si>
  <si>
    <t>Recruitment</t>
  </si>
  <si>
    <t>Alumni Relations/Activities</t>
  </si>
  <si>
    <t>Member Education (LEAD)</t>
  </si>
  <si>
    <t>Brotherhood Activities</t>
  </si>
  <si>
    <t>Banking Related Expenses</t>
  </si>
  <si>
    <t>Community Service/Philanthropy</t>
  </si>
  <si>
    <t>Scholarship/Academic Affairs</t>
  </si>
  <si>
    <t>Homecoming/Greek Week</t>
  </si>
  <si>
    <t>Composite</t>
  </si>
  <si>
    <t>Formal</t>
  </si>
  <si>
    <t>Parent Activities/Events</t>
  </si>
  <si>
    <t>Social Functions/Events</t>
  </si>
  <si>
    <t>Candidate Education Activities</t>
  </si>
  <si>
    <t>Chapter/Executive Retreat</t>
  </si>
  <si>
    <t>Office Supplies</t>
  </si>
  <si>
    <t>Postage/Mailings</t>
  </si>
  <si>
    <t>Printing &amp; Copying</t>
  </si>
  <si>
    <t>Conclave - Travel and Expenses</t>
  </si>
  <si>
    <t>Chapter Merchandise</t>
  </si>
  <si>
    <t>Total Operational Expenses</t>
  </si>
  <si>
    <t>Total Functional Expenses</t>
  </si>
  <si>
    <t>TOTAL EXPENSES</t>
  </si>
  <si>
    <t>Miscellaneous</t>
  </si>
  <si>
    <t>Debt Expense/Payment</t>
  </si>
  <si>
    <t>Savings Fund</t>
  </si>
  <si>
    <t>ACTUAL - YEAR TO DATE</t>
  </si>
  <si>
    <t>Budget Revenue</t>
  </si>
  <si>
    <t>Collected Revenue</t>
  </si>
  <si>
    <t>Cash Available</t>
  </si>
  <si>
    <t>DATE</t>
  </si>
  <si>
    <t>AMOUNT</t>
  </si>
  <si>
    <t>PAYMENT</t>
  </si>
  <si>
    <t>PAYMENT FOR</t>
  </si>
  <si>
    <t>Payments Made</t>
  </si>
  <si>
    <t>PAYMENT MADE TO</t>
  </si>
  <si>
    <t>Operational</t>
  </si>
  <si>
    <t>Functional</t>
  </si>
  <si>
    <t>So</t>
  </si>
  <si>
    <t>VARIANCE</t>
  </si>
  <si>
    <t>Cash Available-Chapter Functions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</si>
  <si>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</si>
  <si>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</si>
  <si>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</si>
  <si>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</si>
  <si>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</si>
  <si>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</si>
  <si>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</si>
  <si>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</si>
  <si>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</si>
  <si>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 xml:space="preserve">APRIL </t>
  </si>
  <si>
    <t>MAY</t>
  </si>
  <si>
    <t>JUNE</t>
  </si>
  <si>
    <t>REQUESTED</t>
  </si>
  <si>
    <t>ADJUSTMENT</t>
  </si>
  <si>
    <t>Tier</t>
  </si>
  <si>
    <t>Per Member Rate</t>
  </si>
  <si>
    <t>Tier Assignment</t>
  </si>
  <si>
    <t>Current Semester Membership</t>
  </si>
  <si>
    <t>Current Semester Initiates</t>
  </si>
  <si>
    <t>EXPECTED COST</t>
  </si>
  <si>
    <t>Prior Yr. Cost</t>
  </si>
  <si>
    <t>Projected Increase - %</t>
  </si>
  <si>
    <t>Projected Increase - $</t>
  </si>
  <si>
    <t>GLE Comp</t>
  </si>
  <si>
    <t>Proj. % Inc.</t>
  </si>
  <si>
    <t>Existing Debt Balance</t>
  </si>
  <si>
    <t>25% of Debt Balance</t>
  </si>
  <si>
    <t>50% of Debt Balance</t>
  </si>
  <si>
    <t>OPERATIONAL COSTS</t>
  </si>
  <si>
    <t>FUNCTIONAL COSTS</t>
  </si>
  <si>
    <t>Total Operational Costs</t>
  </si>
  <si>
    <t>Total Functional Costs</t>
  </si>
  <si>
    <t>Operational Costs Per Initiate</t>
  </si>
  <si>
    <t>Operational Costs Per Member (All)</t>
  </si>
  <si>
    <t>Functional Costs Per Member (All)</t>
  </si>
  <si>
    <t>Functional Costs Per Initiate</t>
  </si>
  <si>
    <t>FALL MEMBERSHIP</t>
  </si>
  <si>
    <t>SPRING MEMBERSHIP</t>
  </si>
  <si>
    <t>Officer Position</t>
  </si>
  <si>
    <t>Membership Status</t>
  </si>
  <si>
    <t>Commander</t>
  </si>
  <si>
    <t>Recorder</t>
  </si>
  <si>
    <t>Marshal</t>
  </si>
  <si>
    <t>Chaplain</t>
  </si>
  <si>
    <t>Sentinel</t>
  </si>
  <si>
    <t>Reporter</t>
  </si>
  <si>
    <t>Historian</t>
  </si>
  <si>
    <t>LEAD</t>
  </si>
  <si>
    <t>Alumni Relations</t>
  </si>
  <si>
    <t xml:space="preserve">April </t>
  </si>
  <si>
    <t>PAY TYPE</t>
  </si>
  <si>
    <t>EXPENSE TYPE</t>
  </si>
  <si>
    <t>Rent</t>
  </si>
  <si>
    <t>Past Rent Owed</t>
  </si>
  <si>
    <t>Meal Plan</t>
  </si>
  <si>
    <t>Past Dues</t>
  </si>
  <si>
    <t>Past Rent</t>
  </si>
  <si>
    <t>Meal Plan/ Kitchen</t>
  </si>
  <si>
    <t>Rent Paid</t>
  </si>
  <si>
    <t>Past Rent Paid</t>
  </si>
  <si>
    <t>Meal/Kitchen</t>
  </si>
  <si>
    <t>Meal/Kitchen Fee Paid</t>
  </si>
  <si>
    <t>LIVE IN HOUSE</t>
  </si>
  <si>
    <t>LIVE OUT OF HOUSE</t>
  </si>
  <si>
    <t>MEAL PLAN</t>
  </si>
  <si>
    <t>PAST DUES OWED</t>
  </si>
  <si>
    <t>PAST DUES COLLECTED</t>
  </si>
  <si>
    <t>OTHER REVENUE BUDGETED</t>
  </si>
  <si>
    <t>OTHER REVENUE COLLECTED</t>
  </si>
  <si>
    <t>BUDGETED REVENUE</t>
  </si>
  <si>
    <t>COLLECTED REVENUE</t>
  </si>
  <si>
    <t>REVENUE VARIANCE</t>
  </si>
  <si>
    <t>HOUSE OPERATIONS</t>
  </si>
  <si>
    <t>KITCHEN OPERATIONS</t>
  </si>
  <si>
    <t>RISK MANAGEMENT ASSESSMENT</t>
  </si>
  <si>
    <t xml:space="preserve">   Installment 1 of 2</t>
  </si>
  <si>
    <t>DUE</t>
  </si>
  <si>
    <t xml:space="preserve">   Installment 2 of 2</t>
  </si>
  <si>
    <t>CONCLAVE FEE</t>
  </si>
  <si>
    <t>INITIATE DUES</t>
  </si>
  <si>
    <t xml:space="preserve">   Per The Law, member updates are due</t>
  </si>
  <si>
    <t xml:space="preserve">   Sept. 15th and Jan. 15th, or 15 days after</t>
  </si>
  <si>
    <t xml:space="preserve">   the start of school, whichever is later</t>
  </si>
  <si>
    <t>PAID TO DATE</t>
  </si>
  <si>
    <t>Principal Invoices Due to Sigma Nu Fraternity, Inc.</t>
  </si>
  <si>
    <t>Name</t>
  </si>
  <si>
    <t>Candidate Fee</t>
  </si>
  <si>
    <t>Paid</t>
  </si>
  <si>
    <t>Date Paid</t>
  </si>
  <si>
    <t>Initiation Fee</t>
  </si>
  <si>
    <t>Yes</t>
  </si>
  <si>
    <t>Ceremony Date</t>
  </si>
  <si>
    <t>Badge Number</t>
  </si>
  <si>
    <t>CANDIDATE FEES</t>
  </si>
  <si>
    <t>INITIATION FEES</t>
  </si>
  <si>
    <t>INITIATION FEES OWED</t>
  </si>
  <si>
    <t>FEES OWED</t>
  </si>
  <si>
    <t>CANDIDATES FEES OWED</t>
  </si>
  <si>
    <t># OWED</t>
  </si>
  <si>
    <t>AMT OWED</t>
  </si>
  <si>
    <t>Yr In School</t>
  </si>
  <si>
    <t>→</t>
  </si>
  <si>
    <t>No</t>
  </si>
  <si>
    <t>GAIN/(LOSS) from Chapter Functions</t>
  </si>
  <si>
    <t>High</t>
  </si>
  <si>
    <t>Low</t>
  </si>
  <si>
    <t>Average</t>
  </si>
  <si>
    <t>CHAPTER OPERATIONS BUDGETED REVENUE</t>
  </si>
  <si>
    <t>CHAPTER OPERATIONS COLLECTED REVENUE</t>
  </si>
  <si>
    <t xml:space="preserve">   Uncollected Adjustment (10%)</t>
  </si>
  <si>
    <t xml:space="preserve">   Past Dues Owed</t>
  </si>
  <si>
    <t xml:space="preserve">   Uncollected Adjustment (50%)</t>
  </si>
  <si>
    <t xml:space="preserve">   Other Revenue</t>
  </si>
  <si>
    <t xml:space="preserve">   Uncollected Adjustment (20%)</t>
  </si>
  <si>
    <t xml:space="preserve">   Risk Management</t>
  </si>
  <si>
    <t xml:space="preserve">   Initiate Dues</t>
  </si>
  <si>
    <t xml:space="preserve">   Conclave Fee</t>
  </si>
  <si>
    <t xml:space="preserve">   GreekLifeEdu Surcharge</t>
  </si>
  <si>
    <t xml:space="preserve">   Accountant Fees</t>
  </si>
  <si>
    <t xml:space="preserve">   Form 990 - CPA filing fee(s)</t>
  </si>
  <si>
    <t xml:space="preserve">   Savings Fund</t>
  </si>
  <si>
    <t xml:space="preserve">   Recruitment</t>
  </si>
  <si>
    <t xml:space="preserve">   Candidate Education Activities</t>
  </si>
  <si>
    <t xml:space="preserve">   Alumni Relations/Activities</t>
  </si>
  <si>
    <t xml:space="preserve">   Member Education (LEAD)</t>
  </si>
  <si>
    <t xml:space="preserve">   Conclave - Travel and Expenses</t>
  </si>
  <si>
    <t xml:space="preserve">   Chapter/Executive Retreat</t>
  </si>
  <si>
    <t xml:space="preserve">   Brotherhood Activities</t>
  </si>
  <si>
    <t xml:space="preserve">   Community Service/Philanthropy</t>
  </si>
  <si>
    <t xml:space="preserve">   Scholarship/Academic Affairs</t>
  </si>
  <si>
    <t xml:space="preserve">   Homecoming/Greek Week</t>
  </si>
  <si>
    <t xml:space="preserve">   Composite</t>
  </si>
  <si>
    <t xml:space="preserve">   Formal</t>
  </si>
  <si>
    <t xml:space="preserve">   Social Functions/Events</t>
  </si>
  <si>
    <t xml:space="preserve">   Parent Activities/Events</t>
  </si>
  <si>
    <t xml:space="preserve">   Office Supplies</t>
  </si>
  <si>
    <t xml:space="preserve">   Printing &amp; Copying</t>
  </si>
  <si>
    <t xml:space="preserve">   Postage/Mailings</t>
  </si>
  <si>
    <t xml:space="preserve">   Chapter Merchandise</t>
  </si>
  <si>
    <t xml:space="preserve">   Miscellaneous</t>
  </si>
  <si>
    <t>Insurance</t>
  </si>
  <si>
    <t>Household Supplies</t>
  </si>
  <si>
    <t>Repairs</t>
  </si>
  <si>
    <t xml:space="preserve">   Windows</t>
  </si>
  <si>
    <t xml:space="preserve">   Doors</t>
  </si>
  <si>
    <t xml:space="preserve">   Appliances</t>
  </si>
  <si>
    <t xml:space="preserve">   Exterior</t>
  </si>
  <si>
    <t xml:space="preserve">   Flooring</t>
  </si>
  <si>
    <t xml:space="preserve">   Lighting</t>
  </si>
  <si>
    <t>Maintenance</t>
  </si>
  <si>
    <t xml:space="preserve">   Lawn/Grounds</t>
  </si>
  <si>
    <t xml:space="preserve">   Pest Control</t>
  </si>
  <si>
    <t xml:space="preserve">   HVAC</t>
  </si>
  <si>
    <t xml:space="preserve">   Other</t>
  </si>
  <si>
    <t>Electricity</t>
  </si>
  <si>
    <t>Gas</t>
  </si>
  <si>
    <t>Water</t>
  </si>
  <si>
    <t>Garbage</t>
  </si>
  <si>
    <t>Cable/Satellite</t>
  </si>
  <si>
    <t>Internet</t>
  </si>
  <si>
    <t>Telephone</t>
  </si>
  <si>
    <t>Payroll - House Mother/Resident Advisor</t>
  </si>
  <si>
    <t>Payroll - Taxes</t>
  </si>
  <si>
    <t>Employee Benefits</t>
  </si>
  <si>
    <t>Real Estate Taxes</t>
  </si>
  <si>
    <t>Alarm (i.e. Fire, Theft, etc.)</t>
  </si>
  <si>
    <t>Food</t>
  </si>
  <si>
    <t>Kitchen Supplies</t>
  </si>
  <si>
    <t xml:space="preserve">   Ventilation </t>
  </si>
  <si>
    <t xml:space="preserve">   Beverage dispenser(s)</t>
  </si>
  <si>
    <t>Payroll - Cook</t>
  </si>
  <si>
    <t>PRIOR YR COST</t>
  </si>
  <si>
    <t>PROJECTED INCREASE - %</t>
  </si>
  <si>
    <t>TOTAL HOUSING COSTS</t>
  </si>
  <si>
    <t>PROJECTED PER MEMBER RENT</t>
  </si>
  <si>
    <t>EXPECTED COST - ANNUAL</t>
  </si>
  <si>
    <t>KITCHEN OPERATING COSTS</t>
  </si>
  <si>
    <t>HOUSE OPERATING COSTS</t>
  </si>
  <si>
    <t>TOTAL KITCHEN COSTS</t>
  </si>
  <si>
    <t>PROJECTED INCREASE - $</t>
  </si>
  <si>
    <t>Sewer</t>
  </si>
  <si>
    <t>EXPECTED PER MONTH (12 mo.)</t>
  </si>
  <si>
    <t>EXPECTED PER MONTH (9 mo)</t>
  </si>
  <si>
    <t>MIN. REQUIRED</t>
  </si>
  <si>
    <t>at Max Occupancy</t>
  </si>
  <si>
    <t>Max Occupancy</t>
  </si>
  <si>
    <t>Out of House Dues</t>
  </si>
  <si>
    <t>9 Mo.</t>
  </si>
  <si>
    <t>12 Mo.</t>
  </si>
  <si>
    <t>PROJECTED PER MEMBER KITCHEN FEE AT START OF ACADEMIC YEAR</t>
  </si>
  <si>
    <t>At Minimum Required</t>
  </si>
  <si>
    <t>Per Member Signed Up</t>
  </si>
  <si>
    <t>Rent (Chapter pays to House Corp/Landlord)</t>
  </si>
  <si>
    <t>TOTAL CHAPTER OPERATIONS REVENUE</t>
  </si>
  <si>
    <t>SUGGESTED DUES PER OUT OF HOUSE MEMBER (in addition to standard member dues)</t>
  </si>
  <si>
    <t>Per Month</t>
  </si>
  <si>
    <t>Per Semester</t>
  </si>
  <si>
    <t>Beginning Balance</t>
  </si>
  <si>
    <t>Rent/Out of House Dues Total</t>
  </si>
  <si>
    <t>TOTAL KITCHEN OPERATIONS REVENUE</t>
  </si>
  <si>
    <t>Chapter Member Dues</t>
  </si>
  <si>
    <t xml:space="preserve">   Chapter Member Dues</t>
  </si>
  <si>
    <t xml:space="preserve">   Other House Revenue</t>
  </si>
  <si>
    <t>Other Housing Revenue Total</t>
  </si>
  <si>
    <t xml:space="preserve">   Other Kitchen Revenue</t>
  </si>
  <si>
    <t>Other Kitchen Revenue Total</t>
  </si>
  <si>
    <t>TOTAL CHAPTER OPERATIONS EXPENSES</t>
  </si>
  <si>
    <r>
      <t>CHAPTER OPERATIONS SURPLUS/</t>
    </r>
    <r>
      <rPr>
        <b/>
        <i/>
        <sz val="11"/>
        <color rgb="FFFF0000"/>
        <rFont val="Times New Roman"/>
        <family val="1"/>
      </rPr>
      <t>(DEFICIT)</t>
    </r>
  </si>
  <si>
    <t>CHAPTER FUNCTIONAL</t>
  </si>
  <si>
    <t>Length of Lease/Meal Plan</t>
  </si>
  <si>
    <t>9 months</t>
  </si>
  <si>
    <t>12 months</t>
  </si>
  <si>
    <r>
      <t>HOUSE OPERATIONS SURPLUS/</t>
    </r>
    <r>
      <rPr>
        <b/>
        <i/>
        <sz val="12"/>
        <color rgb="FFFF0000"/>
        <rFont val="Times New Roman"/>
        <family val="1"/>
      </rPr>
      <t>(DEFICIT)</t>
    </r>
  </si>
  <si>
    <t>EMPTY BEDS</t>
  </si>
  <si>
    <t>SUGGESTED EMPTY BED REVENUE       (from Chapter Operations)</t>
  </si>
  <si>
    <t>Empty Bed Revenue (from Chapter)</t>
  </si>
  <si>
    <t xml:space="preserve">   Rent (members living in house)</t>
  </si>
  <si>
    <t xml:space="preserve">   Out of house dues</t>
  </si>
  <si>
    <t xml:space="preserve">   Past Due Rent</t>
  </si>
  <si>
    <t>Meal Plan/Kitchen Fees - at Start of Academic Year</t>
  </si>
  <si>
    <r>
      <t>KITCHEN OPERATIONS SURPLUS/</t>
    </r>
    <r>
      <rPr>
        <b/>
        <i/>
        <sz val="12"/>
        <color rgb="FFFF0000"/>
        <rFont val="Times New Roman"/>
        <family val="1"/>
      </rPr>
      <t>(DEFICIT)</t>
    </r>
  </si>
  <si>
    <t>PROJECTED PER MEMBER KITCHEN FEE AT REQUIRED MINIMUM</t>
  </si>
  <si>
    <t>SUGGESTED INITIATE MEMBER DUES RANGE</t>
  </si>
  <si>
    <t>SUGGESTED CANDIDATE MEMBER DUES RANGE</t>
  </si>
  <si>
    <r>
      <t>NET SURPLUS/</t>
    </r>
    <r>
      <rPr>
        <b/>
        <i/>
        <sz val="12"/>
        <color rgb="FFFF0000"/>
        <rFont val="Times New Roman"/>
        <family val="1"/>
      </rPr>
      <t>(DEFICT)</t>
    </r>
  </si>
  <si>
    <t>Rent (Chapter to House Corp/Landlord)</t>
  </si>
  <si>
    <t>Out of House Paid</t>
  </si>
  <si>
    <t>Dues</t>
  </si>
  <si>
    <t>Member Dues Paid</t>
  </si>
  <si>
    <t>MEMBER DUES</t>
  </si>
  <si>
    <t>OUT OF HOUSE DUES</t>
  </si>
  <si>
    <t>PAST DUES</t>
  </si>
  <si>
    <t>RENT</t>
  </si>
  <si>
    <t>PAST RENT</t>
  </si>
  <si>
    <t>Fall Collection</t>
  </si>
  <si>
    <t>Spring Collection</t>
  </si>
  <si>
    <t>Collection Rate - To Date</t>
  </si>
  <si>
    <t>Billed To Date</t>
  </si>
  <si>
    <t>Paid To Date</t>
  </si>
  <si>
    <t>Owed To Date</t>
  </si>
  <si>
    <t>Billed to Date</t>
  </si>
  <si>
    <t>Out of House Dues Paid</t>
  </si>
  <si>
    <t>Meal Plan/Kitchen Fee</t>
  </si>
  <si>
    <t>Chapter Ops - Other Revenue</t>
  </si>
  <si>
    <t>Housing Ops - Other Revenue</t>
  </si>
  <si>
    <t>Meal/Kitchen - Other Revenue</t>
  </si>
  <si>
    <t>TOTAL HOUSE OPERATIONS REVENUE</t>
  </si>
  <si>
    <t>TOTAL HOUSE OPERATIONS EXPENSES</t>
  </si>
  <si>
    <t>TOTAL KITCHEN OPERATIONS EXPENSES</t>
  </si>
  <si>
    <t>Empty Bed Expense (to House Ops)</t>
  </si>
  <si>
    <t>TOTAL CHAPTER OPERATIONS EXPENSE</t>
  </si>
  <si>
    <t>Term</t>
  </si>
  <si>
    <t>Per All Member</t>
  </si>
  <si>
    <t>Per Initiate</t>
  </si>
  <si>
    <t>Chapter - Accountant Fees</t>
  </si>
  <si>
    <t>Chapter - Alumni Relations/Activities</t>
  </si>
  <si>
    <t>Chapter - Banking Related Expenses</t>
  </si>
  <si>
    <t>Chapter - Brotherhood Activities</t>
  </si>
  <si>
    <t>Chapter - Candidate Education Activities</t>
  </si>
  <si>
    <t>Chapter - Chapter Merchandise</t>
  </si>
  <si>
    <t>Chapter - Chapter/Executive Retreat</t>
  </si>
  <si>
    <t>Chapter - Community Service/Philanthropy</t>
  </si>
  <si>
    <t>Chapter - Composite</t>
  </si>
  <si>
    <t>Chapter - Conclave - Travel and Expenses</t>
  </si>
  <si>
    <t>Chapter - Conclave Fee</t>
  </si>
  <si>
    <t>Chapter - Empty Bed Transfer (Chapter to Housing)</t>
  </si>
  <si>
    <t>Chapter - Debt Expense/Payment</t>
  </si>
  <si>
    <t>Chapter - Form 990 - CPA filing fee(s)</t>
  </si>
  <si>
    <t>Chapter - Formal</t>
  </si>
  <si>
    <t>Chapter - GreekLifeEdu Surcharge</t>
  </si>
  <si>
    <t>Chapter - Homecoming/Greek Week</t>
  </si>
  <si>
    <t>Chapter - IFC/University Dues</t>
  </si>
  <si>
    <t>Chapter - Initiate Dues</t>
  </si>
  <si>
    <t>Chapter - Member Education (LEAD)</t>
  </si>
  <si>
    <t>Chapter - Miscellaneous</t>
  </si>
  <si>
    <t>Chapter - Office Supplies</t>
  </si>
  <si>
    <t>Chapter - Other (rename #1)</t>
  </si>
  <si>
    <t>Chapter - Other (rename #2)</t>
  </si>
  <si>
    <t>Chapter - Other (rename #3)</t>
  </si>
  <si>
    <t>Chapter - Other (rename #4)</t>
  </si>
  <si>
    <t>Chapter - Other (rename #5)</t>
  </si>
  <si>
    <t>Chapter - Parent Activities/Events</t>
  </si>
  <si>
    <t>Chapter - Postage/Mailings</t>
  </si>
  <si>
    <t>Chapter - Printing &amp; Copying</t>
  </si>
  <si>
    <t>Chapter - Recruitment</t>
  </si>
  <si>
    <t>Chapter - Risk Management</t>
  </si>
  <si>
    <t>Chapter - Savings Fund</t>
  </si>
  <si>
    <t>Chapter - Scholarship/Academic Affairs</t>
  </si>
  <si>
    <t>Chapter - Social Functions/Events</t>
  </si>
  <si>
    <t>House - Rent (Chapter to House Corp/Landlord)</t>
  </si>
  <si>
    <t>House - Insurance</t>
  </si>
  <si>
    <t>House - Household Supplies</t>
  </si>
  <si>
    <t>House - Repairs: Windows</t>
  </si>
  <si>
    <t>House - Repairs: Doors</t>
  </si>
  <si>
    <t>House - Repairs: Appliances</t>
  </si>
  <si>
    <t>House - Repairs: Flooring</t>
  </si>
  <si>
    <t>House - Repairs: Lighting</t>
  </si>
  <si>
    <t>House - Repairs: Exterior</t>
  </si>
  <si>
    <t>House - Repairs: Other</t>
  </si>
  <si>
    <t>House - Maintenance: Lawn/Grounds</t>
  </si>
  <si>
    <t>House - Maintenance: Pest Control</t>
  </si>
  <si>
    <t>House - Maintenance: HVAC</t>
  </si>
  <si>
    <t>House - Maintenance: Other</t>
  </si>
  <si>
    <t>House - Electricity</t>
  </si>
  <si>
    <t>House - Gas</t>
  </si>
  <si>
    <t>House - Water</t>
  </si>
  <si>
    <t>House - Sewer</t>
  </si>
  <si>
    <t>House - Garbage</t>
  </si>
  <si>
    <t>House - Cable/Satellite</t>
  </si>
  <si>
    <t>House - Internet</t>
  </si>
  <si>
    <t>House - Telephone</t>
  </si>
  <si>
    <t>House - Real Estate Taxes</t>
  </si>
  <si>
    <t>House - Alarm (i.e. Fire, Theft, etc.)</t>
  </si>
  <si>
    <t>House - Payroll - House Mother/Resident Advisor</t>
  </si>
  <si>
    <t>House - Payroll - Taxes</t>
  </si>
  <si>
    <t>House - Miscellaneous</t>
  </si>
  <si>
    <t>House - Employee Benefits</t>
  </si>
  <si>
    <t>Kitchen - Food</t>
  </si>
  <si>
    <t>Kitchen - Supplies</t>
  </si>
  <si>
    <t>Kitchen - Repairs: Appliances</t>
  </si>
  <si>
    <t xml:space="preserve">Kitchen - Repairs: Ventilation </t>
  </si>
  <si>
    <t>Kitchen - Repairs: Other</t>
  </si>
  <si>
    <t xml:space="preserve">Kitchen - Maintenance: Ventilation </t>
  </si>
  <si>
    <t>Kitchen - Maintenance: Other</t>
  </si>
  <si>
    <t>Kitchen - Payroll - Cook</t>
  </si>
  <si>
    <t>Kitchen - Payroll - Taxes</t>
  </si>
  <si>
    <t>Kitchen - Employee Benefits</t>
  </si>
  <si>
    <t>Kitchen - Miscellaneous</t>
  </si>
  <si>
    <t>Kitchen - Maintenance: Beverage dispenser(s)</t>
  </si>
  <si>
    <t>Cash</t>
  </si>
  <si>
    <t>Check</t>
  </si>
  <si>
    <t>Transfer</t>
  </si>
  <si>
    <t>Credit/Debit Card</t>
  </si>
  <si>
    <t>MEAL PLAN/KITCHEN FEE</t>
  </si>
  <si>
    <t>COLLECTION RATE</t>
  </si>
  <si>
    <t>(All Chapter Revenue)</t>
  </si>
  <si>
    <t>(All House &amp; Kitchen Revenue)</t>
  </si>
  <si>
    <t>HOUSE - OUT OF HOUSE</t>
  </si>
  <si>
    <t>HOUSE - PAST DUE RENT</t>
  </si>
  <si>
    <t>KITCHEN - OTHER</t>
  </si>
  <si>
    <t>OCTOBER 1ST</t>
  </si>
  <si>
    <t>NOVEMBER 1ST</t>
  </si>
  <si>
    <t xml:space="preserve">FEBRUARY 15TH </t>
  </si>
  <si>
    <t>SEPTEMBER 15TH</t>
  </si>
  <si>
    <t>OCTOBER 15TH</t>
  </si>
  <si>
    <t>MARCH 1ST</t>
  </si>
  <si>
    <t>APRIL 1ST</t>
  </si>
  <si>
    <t>DUE UPON RECEIPT</t>
  </si>
  <si>
    <r>
      <t>CHAPTER OPERATIONS - BUDGETED SURPLUS/</t>
    </r>
    <r>
      <rPr>
        <sz val="12"/>
        <color rgb="FFFF0000"/>
        <rFont val="Times New Roman"/>
        <family val="1"/>
      </rPr>
      <t>(DEFICIT)</t>
    </r>
  </si>
  <si>
    <r>
      <t>CHAPTER OPERATIONS - ACTUAL SURPLUS/</t>
    </r>
    <r>
      <rPr>
        <sz val="12"/>
        <color rgb="FFFF0000"/>
        <rFont val="Times New Roman"/>
        <family val="1"/>
      </rPr>
      <t>(DEFICIT)</t>
    </r>
  </si>
  <si>
    <r>
      <t>HOUSE OPERATIONS - BUDGETED SURPLUS/</t>
    </r>
    <r>
      <rPr>
        <sz val="12"/>
        <color rgb="FFFF0000"/>
        <rFont val="Times New Roman"/>
        <family val="1"/>
      </rPr>
      <t>(DEFICIT)</t>
    </r>
  </si>
  <si>
    <r>
      <t>HOUSE OPERATIONS - ACTUAL SURPLUS/</t>
    </r>
    <r>
      <rPr>
        <sz val="12"/>
        <color rgb="FFFF0000"/>
        <rFont val="Times New Roman"/>
        <family val="1"/>
      </rPr>
      <t>(DEFICIT)</t>
    </r>
  </si>
  <si>
    <r>
      <t>KITCHEN OPERATIONS - BUDGETED SURPLUS/</t>
    </r>
    <r>
      <rPr>
        <sz val="12"/>
        <color rgb="FFFF0000"/>
        <rFont val="Times New Roman"/>
        <family val="1"/>
      </rPr>
      <t>(DEFICIT)</t>
    </r>
  </si>
  <si>
    <r>
      <t>KITCHEN OPERATIONS - ACTUAL SURPLUS/</t>
    </r>
    <r>
      <rPr>
        <sz val="12"/>
        <color rgb="FFFF0000"/>
        <rFont val="Times New Roman"/>
        <family val="1"/>
      </rPr>
      <t>(DEFICIT)</t>
    </r>
  </si>
  <si>
    <r>
      <t>ALL OPERATIONS - BUDGETED SUPRLUS/</t>
    </r>
    <r>
      <rPr>
        <b/>
        <sz val="12"/>
        <color rgb="FFFF0000"/>
        <rFont val="Times New Roman"/>
        <family val="1"/>
      </rPr>
      <t>(DEFICIT)</t>
    </r>
  </si>
  <si>
    <r>
      <t>ALL OPERATIONS - ACTUAL SUPRLUS/</t>
    </r>
    <r>
      <rPr>
        <b/>
        <sz val="12"/>
        <color rgb="FFFF0000"/>
        <rFont val="Times New Roman"/>
        <family val="1"/>
      </rPr>
      <t>(DEFICIT)</t>
    </r>
  </si>
  <si>
    <r>
      <t>Budgeted fall surplus/</t>
    </r>
    <r>
      <rPr>
        <sz val="10"/>
        <color rgb="FFFF0000"/>
        <rFont val="Times New Roman"/>
        <family val="1"/>
      </rPr>
      <t>(deficit)</t>
    </r>
  </si>
  <si>
    <r>
      <t>Actual fall surplus/</t>
    </r>
    <r>
      <rPr>
        <sz val="10"/>
        <color rgb="FFFF0000"/>
        <rFont val="Times New Roman"/>
        <family val="1"/>
      </rPr>
      <t>(deficit)</t>
    </r>
  </si>
  <si>
    <t>Out of House Initiates - as of Start of Academic Year</t>
  </si>
  <si>
    <t>90% Member Completion Met Prior Yr.</t>
  </si>
  <si>
    <t>DASHBOARD</t>
  </si>
  <si>
    <t xml:space="preserve">Ex: Upsilon Upsilon - 2013-2014 </t>
  </si>
  <si>
    <t xml:space="preserve">Step 1 - </t>
  </si>
  <si>
    <t xml:space="preserve">Step 2 - </t>
  </si>
  <si>
    <t>MEMBERSHIP RECORD</t>
  </si>
  <si>
    <t>REQUIRE you to choose some piece of information as it relates to your chapter.  The information that you</t>
  </si>
  <si>
    <t xml:space="preserve">Menu cells </t>
  </si>
  <si>
    <t>(blue)</t>
  </si>
  <si>
    <t>Tabs/worksheets containing these menu cells are: MEMBERSHIP RECORD, Chapter Operations Budget Worksheet, House-</t>
  </si>
  <si>
    <t>Kitchen Budget Worksheet, BUDGET, Candidate-Initiation Fee Tracker, and the Payment Registry</t>
  </si>
  <si>
    <t>Yellow cells indicate that information is to be typed into them.</t>
  </si>
  <si>
    <t>There are some cells in which information will need to be entered, but they are not yellow.  In these instances, these cells are light</t>
  </si>
  <si>
    <t>grey.  With the exception of the BUDGET, if you can select a light grey cell, you will be able to enter information into the cell.</t>
  </si>
  <si>
    <t xml:space="preserve">You will be able to select all cells on the BUDGET, but you will only be able to enter information into the yellow cells or select </t>
  </si>
  <si>
    <t>information from a blue cell on the BUDGET.</t>
  </si>
  <si>
    <t>Chapter Operations</t>
  </si>
  <si>
    <t>House Operations</t>
  </si>
  <si>
    <t>Kitchen Operations</t>
  </si>
  <si>
    <t>CHAPTER OPERATIONS BUDGET WORKSHEET</t>
  </si>
  <si>
    <t xml:space="preserve">Step 3 - </t>
  </si>
  <si>
    <t xml:space="preserve">Step 4 - </t>
  </si>
  <si>
    <t xml:space="preserve">Step 5 - </t>
  </si>
  <si>
    <t xml:space="preserve">Step 6 - </t>
  </si>
  <si>
    <t xml:space="preserve">Step 7 - </t>
  </si>
  <si>
    <t xml:space="preserve">Step 8 - </t>
  </si>
  <si>
    <t xml:space="preserve">Step 9 - </t>
  </si>
  <si>
    <t xml:space="preserve">Step 10 - </t>
  </si>
  <si>
    <t>HOUSE - KITCHEN BUDGET WORKSHEET</t>
  </si>
  <si>
    <t xml:space="preserve">Step 13 - </t>
  </si>
  <si>
    <t xml:space="preserve">Step 18 - </t>
  </si>
  <si>
    <t xml:space="preserve">Step 19 - </t>
  </si>
  <si>
    <t>Have a house and meal plan?</t>
  </si>
  <si>
    <t xml:space="preserve">Step 20 - </t>
  </si>
  <si>
    <t xml:space="preserve">Step 21 - </t>
  </si>
  <si>
    <t>If you do not wish to utilize the CMT to budget and track for House Operations and Kitchen Operations (i.e. you will use the CMT</t>
  </si>
  <si>
    <t xml:space="preserve">Step 22 - </t>
  </si>
  <si>
    <t xml:space="preserve">Step 23 - </t>
  </si>
  <si>
    <t xml:space="preserve">Step 24 - </t>
  </si>
  <si>
    <t xml:space="preserve">Step 25 - </t>
  </si>
  <si>
    <t>budgeting for the spring until the end of the fall term, or start of the spring term, then use the "Actual Surplus/(Deficit)".</t>
  </si>
  <si>
    <t>CANDIDATE-INITIATION FEE TRACKER</t>
  </si>
  <si>
    <t xml:space="preserve">Step 26 - </t>
  </si>
  <si>
    <t>ACCOUNTS RECEIVABLE - COLLECTIONS</t>
  </si>
  <si>
    <t>PAYMENT REGISTRY</t>
  </si>
  <si>
    <t xml:space="preserve">Step 29 - </t>
  </si>
  <si>
    <t>Chapter Operations is the only component of the CMT that splits costs between operational and functional</t>
  </si>
  <si>
    <t>One of the limitations of the CMT is that individual payments cannot be split between multiple lines items; therefore, if your</t>
  </si>
  <si>
    <t>chapter sends a payment to the General Fraternity for the first installment of the Conclave Fee and the first installment of the Risk</t>
  </si>
  <si>
    <t>Management Assessment, then you will need to enter these as individual payments - one for each line item.</t>
  </si>
  <si>
    <t>information of the chapter.</t>
  </si>
  <si>
    <t xml:space="preserve">The Candidate-Initiation Fee Tracker does NOT calculate into any other part of the CMT.  Candidate and Initiation Fees are a zero </t>
  </si>
  <si>
    <t xml:space="preserve">sum item for chapters.  In other words, there is not a potential positive cashflow for the chapter, house, or kitchen from these fees; </t>
  </si>
  <si>
    <t>however, unpaid Candidate and Initiation Fees can create a serious issue for chapters if they are not addressed and taken care of in</t>
  </si>
  <si>
    <t>DASHBOARD - Line 1 &amp; 2 - Enter your chapter's designation and the academic year.  (OPTIONAL, but recommended)</t>
  </si>
  <si>
    <t xml:space="preserve">MEMBERHSIP RECORD - In cell G3, enter the total number of members (candidate and initiate) of your chapter at the end of </t>
  </si>
  <si>
    <t>fall term.</t>
  </si>
  <si>
    <t>the previous spring term.  This information will be used to calculate your chapter's expected Risk Management Assessment for the</t>
  </si>
  <si>
    <t xml:space="preserve">MEMBERSHIP RECORD - Enter the "Name", "Year In School", and "Membership Status" of each current chapter member </t>
  </si>
  <si>
    <t xml:space="preserve">CHAPTER OPERATIONS BUDGET WORKSHEET - Line 3 &amp; 4 - Select the appropriate Risk Management Tier of your chapter.  </t>
  </si>
  <si>
    <t>CHAPTER OPERATIONS BUDGET WORKSHEET - In cell C9/10 (fall) and cell H9/10 (spring), enter the per member rate your</t>
  </si>
  <si>
    <t>CMT will include an expected GreekLifeEdu surcharge per the financial incentive policy of the High Council.</t>
  </si>
  <si>
    <t>CHAPTER OPERATIONS BUDGET WORKSHEET - In cell B14/15 select "Yes" or "No" in relation to your chapter's completion</t>
  </si>
  <si>
    <t xml:space="preserve">of GreekLifeEdu from the previous academic year.  If your chapter reached the 90% completion mark, select "Yes" and this charge </t>
  </si>
  <si>
    <t xml:space="preserve">will be removed from the budget calculations.  However, if your chapter did not reach the 90% completion mark, select "No" and the </t>
  </si>
  <si>
    <t>CHAPTER OPERATIONS BUDGET WORKSHEET - Lines 17, 18, and 19 may or may not be applicable to your chapter.  If they</t>
  </si>
  <si>
    <t xml:space="preserve">to, service fees charged by the bank and often times are directly withdrawn from the chapter's account by the bank.   </t>
  </si>
  <si>
    <t xml:space="preserve">Form 990 filing, then you should enter this information here.  "Banking related expenses" would likely include, but would not be limited </t>
  </si>
  <si>
    <t>Ex: If your chapter owes the General Fraternity $1,000.00, you should enter that amount and it will show you the</t>
  </si>
  <si>
    <t>owed by the chapter. Enter the amount of debt the chapter intends to pay in cells E22/23 (fall) and J22/23 (spring).</t>
  </si>
  <si>
    <t xml:space="preserve">CHAPTER OPERATIONS BUDGET WORKSHEET - In cell B22/23 (fall) and G22/23 (spring), enter the amount of past debts </t>
  </si>
  <si>
    <t xml:space="preserve">amount of a payment that would reduce that debt by 25% and 50%, thereby allowing your chapter to make a more </t>
  </si>
  <si>
    <t>of the budgetary requests for funds you have received from the various officers and chairmen of your chapter.</t>
  </si>
  <si>
    <t>CHAPTER OPERATIONS BUDGET WORKSHEET - Cells B35 - B59 (fall) and G35 - G59 (spring) are where you should enter all</t>
  </si>
  <si>
    <t>will be selecting from the drop down lists drives numerous calculations and scenarios factored into the Cash Management Tool (CMT).</t>
  </si>
  <si>
    <t>The CMT combines chapter operations, house operations, and kitchen operations into one tool.  Combining all of these operations</t>
  </si>
  <si>
    <t>into one tool results in a lot of data and numbers; therefore, to help minimize the confusion, the various areas are color coded:</t>
  </si>
  <si>
    <t>candidate members.</t>
  </si>
  <si>
    <t>and the candidates receive a direct benefit from such activities and operations.</t>
  </si>
  <si>
    <t>NOTE - Candidate dues, calculated by the CMT, do NOT include the Candidate and Initiation Fees.  Candidate dues</t>
  </si>
  <si>
    <t>are important for two reasonss: 1) Establish the expectation that ALL members have a financial obligation to the</t>
  </si>
  <si>
    <t>chapter and fraternity, and 2) The chapter incurs legitimate costs for candidates - IFC dues, Risk Management, etc. -</t>
  </si>
  <si>
    <t xml:space="preserve">CHAPTER OPERATIONS BUDGET WORKSHEET - If it is the determined that adjustments need to be made to the budget requests  </t>
  </si>
  <si>
    <t>calculate in cell D36.</t>
  </si>
  <si>
    <t>Ex: If the Recruitment Chairman requested $5,000.00 for the fall term (cell B36), and it has been determined to</t>
  </si>
  <si>
    <t xml:space="preserve">adjust that request down by $1,000.00, then enter -1,000 in cell C36. The adjusted recruitment budget amount will  </t>
  </si>
  <si>
    <t>column C (fall) and/or column H (spring).</t>
  </si>
  <si>
    <t>(i.e. functional costs), then enter a negative number for each line item you wish to adjust down, or a positive number to adjust up, in</t>
  </si>
  <si>
    <t xml:space="preserve">MEMBERSHIP RECORD - Enter the dues amount for each initiated member in the "Chapter Member Dues" column.  For candidates </t>
  </si>
  <si>
    <t>enter the deteremined candidate dues amount in the "Chapter Member Dues" column.</t>
  </si>
  <si>
    <t>member.</t>
  </si>
  <si>
    <t>MEMBERSHIP RECORDS - In the "Past Dues Owed" column, enter the amount of any past dues owed by an individual chapter</t>
  </si>
  <si>
    <t xml:space="preserve">HOUSE-KITCHEN BUDGET WORKSHEET - In cell A2, select the appropriate answer for your chapter. If your chapter does not </t>
  </si>
  <si>
    <t>lease/housing agreement and meal plan/cook contract in cell A4 - these are typically 12 or 9 months.</t>
  </si>
  <si>
    <t>HOUSE-KITCHEN BUDGET WORKSHEET - If you answered "Yes" in cell A2, then select the length of the term of the chapter's</t>
  </si>
  <si>
    <t>of beds).</t>
  </si>
  <si>
    <t>HOUSE-KITCHEN BUDGET WORKSHEET - In cell I5, enter the maximum occupancy of the chapter house (i.e. maximum number</t>
  </si>
  <si>
    <t>percentage increase at 0%.</t>
  </si>
  <si>
    <t xml:space="preserve">HOUSE-KITCHEN BUDGET WORKSHEET - For each line item related to House Operations, enter the prior year's costs (column C), </t>
  </si>
  <si>
    <t>NOTE - As information is entered in this section, the expected annual and per month (12 month and 9 month) costs</t>
  </si>
  <si>
    <t>MEMBERSHIP RECORD - Once a determination has been made on the amount of the "Out of House Dues" and "Rent", enter those</t>
  </si>
  <si>
    <t xml:space="preserve">per member rates into the Membership Record for each individual member in the appropriate column (i.e. "Out of House Dues", "Rent"). </t>
  </si>
  <si>
    <t>Additionally, if there are any members who owe past rent (from previous term/year), that amount should be entered for those members</t>
  </si>
  <si>
    <t>in the "Past Rent Owed" column.  At this time, you need to enter a "1" for each member who be pariticipating in the chapter's meal plan</t>
  </si>
  <si>
    <t>Kitchen Fee.</t>
  </si>
  <si>
    <t>in the Meal Plan/Kitchen Fee column.  Again, this entry is a place holder and provides a count for the calculation of the Meal Plan/</t>
  </si>
  <si>
    <t>NOTE - As you enter this information, you will see the expected annual and per month (12 month and 9 month) costs</t>
  </si>
  <si>
    <t>HOUSE-KITCHEN BUDGET WORKSHEET - For each line item related to Kitchen Operations, enter the prior year's costs (column</t>
  </si>
  <si>
    <t>(column L - fall, column U - spring).</t>
  </si>
  <si>
    <t>MEMBERSHIP RECORD - Once a determination has been made on the amount of the "Meal Plan/Kitchen Fee", enter the  per member</t>
  </si>
  <si>
    <t>rate for each individual member who will be participating in the chapter's meal plan/food service, in the Meal Plan/Kitchen Fee column</t>
  </si>
  <si>
    <t>cell B41, enter the actual amount of funds available in the kitchen/meal account, if applicable, for kitchen operations in the fall term.</t>
  </si>
  <si>
    <t>BUDGET - In cell B5, enter the actual amount of funds available in the chapter's account for chapter operations for the fall term.  In</t>
  </si>
  <si>
    <t>cell B24 enter the actual amount of funds available in the chapter house account, if applicable, for house operations in the fall term.  In</t>
  </si>
  <si>
    <t>rent, past dues and rent, and meal plan/kitchen fees).  You can enter these anticipated amounts for the spring term when appropriate.</t>
  </si>
  <si>
    <t>BUDGET - In cell B16, B33, and B45 enter the amount of revenue the chapter expects to receive other than from members (i.e. dues,</t>
  </si>
  <si>
    <t>BUDGET - For the spring term's "Beginning Bank Balance"/"Beginning Balance", you can choose to use the budgeted suprlus/(deficit)</t>
  </si>
  <si>
    <t>is budgeting.  If you're budgeting for the entire academic year at once, then use the "Budgeted Surplus/(Deficit).  If you will not be</t>
  </si>
  <si>
    <t>from the fall term, or the actual surplus/(deficit) from the fall term.  Which one should you use?  It's really depends on how your chapter</t>
  </si>
  <si>
    <t>payment was made, the date of their Initiation Ceremony, and their badge number.</t>
  </si>
  <si>
    <t>CANDIDATE-INITIATION FEE TRACKER - For each member listed, select whether their Candidate Fee has been paid to the</t>
  </si>
  <si>
    <t>General Fraternity.  If "Yes", then also enter the date this payment was made and the date of their Candidate Ceremony.  For each</t>
  </si>
  <si>
    <t>member listed, also select whether their Initiation Fee has been paid to the General Fraternity.  If "Yes", then also enter the date this</t>
  </si>
  <si>
    <t>is assigned to a specific area of operations - Chapter, House, Kitchen.</t>
  </si>
  <si>
    <t>ACCOUNTS RECEIVABLE-COLLECTIONS - As members make payments to their dues, enter the dollar amount of the total dues</t>
  </si>
  <si>
    <t>collected for each individual each month.  Pay careful attention to which column you are entering these amounts because each column</t>
  </si>
  <si>
    <t>assigned to a specific area of operations - Chapter, House, Kitchen.</t>
  </si>
  <si>
    <t>ACCOUNTS RECEIVABLE-COLLECTIONS - Under each month's header, there are yellow cells for entering the amount of "other"</t>
  </si>
  <si>
    <t>revenue that was collected each month.  Again, pay careful attention to which line you are entering these amounts because each line is</t>
  </si>
  <si>
    <t>in the "Budget" - the amount of the payment, and who the payment was to.</t>
  </si>
  <si>
    <r>
      <t xml:space="preserve">PAYMENT REGISTRY - Enter the date of the payment - </t>
    </r>
    <r>
      <rPr>
        <u/>
        <sz val="11"/>
        <color theme="1"/>
        <rFont val="Times New Roman"/>
        <family val="1"/>
      </rPr>
      <t>very important</t>
    </r>
    <r>
      <rPr>
        <sz val="11"/>
        <color theme="1"/>
        <rFont val="Times New Roman"/>
        <family val="1"/>
      </rPr>
      <t xml:space="preserve"> as the date directly affects the monthly statements calculated</t>
    </r>
  </si>
  <si>
    <t>for each line item.</t>
  </si>
  <si>
    <t>the first installment of the Risk Management Assessment, then you will need to enter these as individual payments, one</t>
  </si>
  <si>
    <t xml:space="preserve">NOTE: One of the limitations of the CMT is that individual payments cannot be split between multiple lines items; </t>
  </si>
  <si>
    <t>NOTE: When entering a payment for House or Kitchen Operations, please select "Operational" as the expense type.</t>
  </si>
  <si>
    <t>STEP-BY-STEP INSTRUCTIONS</t>
  </si>
  <si>
    <t>THINGS TO BE AWARE OF AS YOU GET STARTED</t>
  </si>
  <si>
    <t xml:space="preserve">Step 16 - </t>
  </si>
  <si>
    <t xml:space="preserve">Step 17 - </t>
  </si>
  <si>
    <t>for food service.</t>
  </si>
  <si>
    <t>HOUSE-KITCHEN BUDGET WORKSHEET - In cell I60, enter the minimum number of members required for the chapter to contract</t>
  </si>
  <si>
    <t xml:space="preserve">(candidates and initiates) for the appropriate academic term (fall/spring). </t>
  </si>
  <si>
    <t>local IFC/Univeristy charges your chapter, if they do so.  If your IFC or University does not charge any dues, then enter "0".</t>
  </si>
  <si>
    <t>Step 11 -</t>
  </si>
  <si>
    <t xml:space="preserve">Step 14 - </t>
  </si>
  <si>
    <t>Step 12 -</t>
  </si>
  <si>
    <t>MEMBERSHIP RECORD -  Enter a "1" in the "Member Dues" column for all members.  Enter a "1" in the  "Out of House Dues"</t>
  </si>
  <si>
    <t>chapter operations only, and should NOT include "Out of House Dues", "Rent", "Past Dues", etc.</t>
  </si>
  <si>
    <t>columns shortly.</t>
  </si>
  <si>
    <t>"Out of House Dues" columns provides a count for the budget worksheets and acts as a place holder. You will return to these</t>
  </si>
  <si>
    <t>therefore, if your chapter sends a payment to the General Fraternity for the first installment of the Conclave Fee and</t>
  </si>
  <si>
    <t xml:space="preserve">a timely manner and this sheet can, and will, help a chapter to better track any outstanding fees as well as the memberhship </t>
  </si>
  <si>
    <t>have a chapter house, select "No" and you're done with this worksheet and should skip ahead to Step 15</t>
  </si>
  <si>
    <t>Optional</t>
  </si>
  <si>
    <t>Needed</t>
  </si>
  <si>
    <t>REQUIRED</t>
  </si>
  <si>
    <t xml:space="preserve">are not, just leave them blank or enter "0" in the yellow cells.  If your chapter does utilize an accountant, or uses a CPA to complete its  </t>
  </si>
  <si>
    <t>CMT as a budgeting tool and resource for tracking cash.</t>
  </si>
  <si>
    <t>the CMT and the information it provides and tracks.  "Optional" items do not have any significant impact on the functionality of the</t>
  </si>
  <si>
    <t xml:space="preserve">in order for the CMT to work at a minimum functionality for budgeting.  "Needed" steps are those that increase the functionality of </t>
  </si>
  <si>
    <t>To the right of each step below is a notation - Required, Needed, or Optional.  Those steps marked as "required" must be completed</t>
  </si>
  <si>
    <t>Management Tool to its full extent (i.e. membership record, budget tool, as well as a collections record and payment registry).</t>
  </si>
  <si>
    <t>The "Membership Record" is vital to the rest of the Cash Management Tool and, potentially, serves a dual purpose.  First, the informaiton entered in the</t>
  </si>
  <si>
    <t>Membership Record is used on the Chapter Operations Budget Worksheet and the House-Kitchen Budget Worksheet to calculate some fo the</t>
  </si>
  <si>
    <t xml:space="preserve">operational expenses (i.e. Risk Management, Initiate Dues, etc.).  Second, the membership information provided allows the CMT to calculate and </t>
  </si>
  <si>
    <t xml:space="preserve">This budget worksheet addresses aspects of the collegiate chapter only.  It does not address house or kitchen operations, if those components are </t>
  </si>
  <si>
    <t>HOUSE-KITCHEN BUDGET WORKSHEET</t>
  </si>
  <si>
    <t xml:space="preserve">so that you build your "bottom line" based on prior year costs and anticipated increases, which is consistent with an incremental budget system.  This </t>
  </si>
  <si>
    <t>incremental system is used for the house and meal plans because chapter houses are typically owned and operated by other entities (i.e. alumni house</t>
  </si>
  <si>
    <t>corporation, private landlord) and meal plans are based on set costs established by food and service providers (i.e. food distributors, cooks, etc.)</t>
  </si>
  <si>
    <t>A chapter's budget is a vital part of its ability to realize its vision, goals, and its basic operations.  Everything goes into the budget because it is the road</t>
  </si>
  <si>
    <t>This worksheet does NOT calculate into any other part of the CMT.  Candidate and Initiation Fees are a zero sum component of chapter finances, if the</t>
  </si>
  <si>
    <t xml:space="preserve">chapter ensures members are reported in a timely fashion and the respective fees are paid in full.  In short, there is not a potential positive cashflow for </t>
  </si>
  <si>
    <t xml:space="preserve">the chapter, house, or kitchen from these fees.  However, unpaid Candidate and Initiation Fees can create a serious issue for chapter if they are not </t>
  </si>
  <si>
    <t>addressed appropriately and in a timely manner.</t>
  </si>
  <si>
    <t xml:space="preserve">Information in this worksheet is to be entered by month for each individual member.  Additionally, "other" revenue for chapter, house, and kitchen </t>
  </si>
  <si>
    <t>operations can also be entered and tracked in this worksheet.  In short, this worksheet exists so the chapter can maintain an accurate record of realized</t>
  </si>
  <si>
    <t>PAYMENT REGSITRY</t>
  </si>
  <si>
    <t xml:space="preserve">This worksheet is a registry in which you can record the various outlays of the chapter.  By entering the chapters various payments in this registry the </t>
  </si>
  <si>
    <t xml:space="preserve">chapter will have a record of each of its transactions AND the information entered in the registry will be calculated onto the BUDGET (i.e. actuals) on </t>
  </si>
  <si>
    <t>both a monthly and year-to-date basis.</t>
  </si>
  <si>
    <t>revenue and accounts receivable. The information entered in this worksheet calculates onto the BUDGET (i.e. actuals) on a monthly and year-to-date</t>
  </si>
  <si>
    <t>basis.</t>
  </si>
  <si>
    <t xml:space="preserve">COMPONENTS OF THE CASH MANAGEMENT TOOL </t>
  </si>
  <si>
    <t>Minimum</t>
  </si>
  <si>
    <t>Moderate</t>
  </si>
  <si>
    <r>
      <t xml:space="preserve">for Chapter Operations </t>
    </r>
    <r>
      <rPr>
        <u/>
        <sz val="11"/>
        <color theme="1"/>
        <rFont val="Times New Roman"/>
        <family val="1"/>
      </rPr>
      <t>only</t>
    </r>
    <r>
      <rPr>
        <sz val="11"/>
        <color theme="1"/>
        <rFont val="Times New Roman"/>
        <family val="1"/>
      </rPr>
      <t>), go to the House-Kitchen Budget Worksheet and select "No" in cell A2.</t>
    </r>
  </si>
  <si>
    <t>MONTHLY ACTUALS - FALL</t>
  </si>
  <si>
    <t>MONTHLY ACTUALS - SPRING</t>
  </si>
  <si>
    <t>De-pledged</t>
  </si>
  <si>
    <t>Expelled</t>
  </si>
  <si>
    <t>important information in a quick glance.  Keep in mind, though, that the information on the DASHBOARD is only effective if you utilize the Cash</t>
  </si>
  <si>
    <t xml:space="preserve">recommend a range for member dues, as well as per member rental and meal plan/kitchen fee rates. </t>
  </si>
  <si>
    <t>so that you build your "bottom line" (i.e. expenses) from the ground up and is consistent with a zero-based budget system.</t>
  </si>
  <si>
    <t xml:space="preserve">This budget worksheet addresses aspects of the chapter house and costs related the chapter maintaining a cook or meal plan.  It does not address </t>
  </si>
  <si>
    <t>chapter operations.  This budget worksheet assists to establish the expense, or "bottom line", budget of the house and meals.  The worksheet is set up</t>
  </si>
  <si>
    <t>applicable to your chapter.  This budget worksheet assists to establish the expense, or "bottom line", budget of the chapter.  The worksheet is set up</t>
  </si>
  <si>
    <t xml:space="preserve">map that can, and will, guide a chapter to the very place it wishes to go, if the budget is followed.  The CMT's "BUDGET" requires you to enter very little </t>
  </si>
  <si>
    <t xml:space="preserve">financial data from which the Treasurer, Finance Committee, and the Chapter can base their financial decisions. </t>
  </si>
  <si>
    <t>information directly.  More than 95% of the information in the BUDGET is entered in other worksheets; therefore, the BUDGET becomes the hub of</t>
  </si>
  <si>
    <t>informed decision about how much of its debt it can afford to pay each semester.</t>
  </si>
  <si>
    <t>The "DASHBOARD" is a snapshot of information based on the data you enter in throughout this workbook.  It's purpose is to give you some</t>
  </si>
  <si>
    <t xml:space="preserve">and for each line item enter the expected/anticipated percentage increase.  If an increase is not expected, then enter that line item </t>
  </si>
  <si>
    <t>Step 15 -</t>
  </si>
  <si>
    <t>HOUSE-KITCHEN BUDGET WORKSHEET - For each line item related to House Operations, enter the percentage to be charged to</t>
  </si>
  <si>
    <t>% of line item cost to charge</t>
  </si>
  <si>
    <r>
      <t xml:space="preserve">members who do </t>
    </r>
    <r>
      <rPr>
        <u/>
        <sz val="11"/>
        <color theme="1"/>
        <rFont val="Times New Roman"/>
        <family val="1"/>
      </rPr>
      <t>not</t>
    </r>
    <r>
      <rPr>
        <sz val="11"/>
        <color theme="1"/>
        <rFont val="Times New Roman"/>
        <family val="1"/>
      </rPr>
      <t xml:space="preserve"> live in the house (column I - % of line item cost to charge).  This percentage will be used to calculate the amount</t>
    </r>
  </si>
  <si>
    <t>should be charged to each member who does not live in the house will be calculated.</t>
  </si>
  <si>
    <t xml:space="preserve">of each line item that should be charged to all out of house members.  In cells J39 (12 mo lease) and K39 (9 mo lease), the amount that </t>
  </si>
  <si>
    <t>NOTE - The amount calculated for Out of House dues (cells J39 and K39) are suggestions only.  Your chapter may</t>
  </si>
  <si>
    <t>already have an out of house dues rate, established either by the chapter or house corporation/landlord.</t>
  </si>
  <si>
    <t xml:space="preserve">CHAPTER OPERATIONS BUDGET WORKSHEET - It is time to determine the per member dues rate.  After completing Steps 4-15 </t>
  </si>
  <si>
    <r>
      <t xml:space="preserve">the CMT will breakdown the various costs entered, calculate the per member costs, and return a </t>
    </r>
    <r>
      <rPr>
        <b/>
        <u/>
        <sz val="11"/>
        <color theme="1"/>
        <rFont val="Times New Roman"/>
        <family val="1"/>
      </rPr>
      <t>suggested</t>
    </r>
    <r>
      <rPr>
        <sz val="11"/>
        <color theme="1"/>
        <rFont val="Times New Roman"/>
        <family val="1"/>
      </rPr>
      <t xml:space="preserve"> range for membership </t>
    </r>
  </si>
  <si>
    <r>
      <t xml:space="preserve">dues </t>
    </r>
    <r>
      <rPr>
        <u/>
        <sz val="11"/>
        <color theme="1"/>
        <rFont val="Times New Roman"/>
        <family val="1"/>
      </rPr>
      <t>to be considered by the finance committee and the chapter</t>
    </r>
    <r>
      <rPr>
        <sz val="11"/>
        <color theme="1"/>
        <rFont val="Times New Roman"/>
        <family val="1"/>
      </rPr>
      <t xml:space="preserve">. The CMT will also calculate a recommended dues range for </t>
    </r>
  </si>
  <si>
    <t>NOTE - The suggested membership dues calculated in the CMT establish a minimum to cover all costs, operaational</t>
  </si>
  <si>
    <t>and functional.</t>
  </si>
  <si>
    <t>functional costs. As adjustments are made to the functional costs, the suggested member dues will also adjust.</t>
  </si>
  <si>
    <t xml:space="preserve">Step 27 - </t>
  </si>
  <si>
    <t>Step 28 -</t>
  </si>
  <si>
    <t xml:space="preserve">Step 30 - </t>
  </si>
  <si>
    <t>Step 31 -</t>
  </si>
  <si>
    <t>NOTE - If it is determined that the recommended dues range is to high, then adjustments will need to be made to the</t>
  </si>
  <si>
    <t xml:space="preserve">NOTE - Chapter Member Dues are those dues paid by each individual member to the chapter and are intended for </t>
  </si>
  <si>
    <t>NOTE - You may enter any amount you wish in the Chapter Member Dues column, whether or not that amount is</t>
  </si>
  <si>
    <t>derived from the suggested member dues or another amount established by the chapter.</t>
  </si>
  <si>
    <t xml:space="preserve">NOTE - You may enter any amount you wish for "Out of House Dues", "Rent", and "Past Rent".  You are not </t>
  </si>
  <si>
    <t>required to enter the suggested out of house dues rate or the suggested rent rate.</t>
  </si>
  <si>
    <r>
      <t xml:space="preserve">are calculated.  The projected per member costs are also calculated.  The projected per member cost is </t>
    </r>
    <r>
      <rPr>
        <b/>
        <i/>
        <u/>
        <sz val="11"/>
        <color theme="1"/>
        <rFont val="Times New Roman"/>
        <family val="1"/>
      </rPr>
      <t>recommended</t>
    </r>
  </si>
  <si>
    <t>as the amount the chapter should charge each member to participate in the meal plan/food service.</t>
  </si>
  <si>
    <t xml:space="preserve">NOTE - You may enter amount you wish for the "Meal Plan/Kitchen Fee".  You are not required to enter the </t>
  </si>
  <si>
    <t>recommended per member amount calculated on the House-Kitchen Budget Worksheet.</t>
  </si>
  <si>
    <r>
      <t xml:space="preserve">are calculated.  The CMT will also calculate the </t>
    </r>
    <r>
      <rPr>
        <b/>
        <i/>
        <u/>
        <sz val="11"/>
        <color theme="1"/>
        <rFont val="Times New Roman"/>
        <family val="1"/>
      </rPr>
      <t>recommended</t>
    </r>
    <r>
      <rPr>
        <i/>
        <sz val="11"/>
        <color theme="1"/>
        <rFont val="Times New Roman"/>
        <family val="1"/>
      </rPr>
      <t xml:space="preserve"> "Rent" that should be paid by each member living</t>
    </r>
  </si>
  <si>
    <t>in the house.</t>
  </si>
  <si>
    <t xml:space="preserve">for those members (candidates and initiates) who will not be living in the house as well.  Entering "1" in the "Member Dues" and </t>
  </si>
  <si>
    <t>C), and for each line item enter an expected/anticipated percentage increase.  If an increase is not expected, then leave that line items</t>
  </si>
  <si>
    <t>AREA CLASS.</t>
  </si>
  <si>
    <t>CHAPTER</t>
  </si>
  <si>
    <t>HOUSE</t>
  </si>
  <si>
    <t>KITCHEN</t>
  </si>
  <si>
    <t>the area classification (i.e. chapter, house, kitchen).  Finally, the specific budget line item for which that payment was made.</t>
  </si>
  <si>
    <t>PAYMENT REGSITRY - Select the type/method of payment, then the expense type of the payment (i.e. operational or functional) and</t>
  </si>
  <si>
    <t xml:space="preserve">NOTE - If you are using the payment registry to track actual payments against the budget, then this step is very </t>
  </si>
  <si>
    <t xml:space="preserve">important.  </t>
  </si>
  <si>
    <t>TOTAL SPENDING</t>
  </si>
  <si>
    <t>Enter Chapter Designation - Enter Fiscal/Academic Year</t>
  </si>
  <si>
    <t>MARCH 15TH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</si>
</sst>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_([$$-409]* #,##0.00_);_([$$-409]* \(#,##0.00\);_([$$-409]* &quot;-&quot;??_);_(@_)"/>
  </numFmts>
  <fonts count="5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 val="singleAccounting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u val="singleAccounting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i/>
      <u val="singleAccounting"/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u val="doubleAccounting"/>
      <sz val="12"/>
      <color theme="1"/>
      <name val="Times New Roman"/>
      <family val="1"/>
    </font>
    <font>
      <i/>
      <u val="singleAccounting"/>
      <sz val="10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i/>
      <u val="doubleAccounting"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i/>
      <u val="singleAccounting"/>
      <sz val="11"/>
      <color theme="1"/>
      <name val="Times New Roman"/>
      <family val="1"/>
    </font>
    <font>
      <sz val="11"/>
      <color theme="1"/>
      <name val="Times New Roman"/>
      <family val="1"/>
    </font>
    <font>
      <b/>
      <i/>
      <sz val="11"/>
      <color rgb="FFFF0000"/>
      <name val="Times New Roman"/>
      <family val="1"/>
    </font>
    <font>
      <b/>
      <i/>
      <u val="double"/>
      <sz val="11"/>
      <color theme="1"/>
      <name val="Times New Roman"/>
      <family val="1"/>
    </font>
    <font>
      <b/>
      <u val="doubleAccounting"/>
      <sz val="10"/>
      <color theme="1"/>
      <name val="Times New Roman"/>
      <family val="1"/>
    </font>
    <font>
      <u/>
      <sz val="10"/>
      <color theme="1"/>
      <name val="Times New Roman"/>
      <family val="1"/>
    </font>
    <font>
      <b/>
      <sz val="18"/>
      <color theme="1"/>
      <name val="Times New Roman"/>
      <family val="1"/>
    </font>
    <font>
      <b/>
      <u/>
      <sz val="12"/>
      <color theme="0"/>
      <name val="Times New Roman"/>
      <family val="1"/>
    </font>
    <font>
      <sz val="10"/>
      <color theme="0"/>
      <name val="Times New Roman"/>
      <family val="1"/>
    </font>
    <font>
      <b/>
      <sz val="10"/>
      <color theme="0"/>
      <name val="Times New Roman"/>
      <family val="1"/>
    </font>
    <font>
      <b/>
      <sz val="12"/>
      <color theme="0"/>
      <name val="Times New Roman"/>
      <family val="1"/>
    </font>
    <font>
      <b/>
      <sz val="14"/>
      <color theme="0"/>
      <name val="Times New Roman"/>
      <family val="1"/>
    </font>
    <font>
      <b/>
      <i/>
      <u/>
      <sz val="12"/>
      <color theme="1"/>
      <name val="Times New Roman"/>
      <family val="1"/>
    </font>
    <font>
      <b/>
      <i/>
      <u val="singleAccounting"/>
      <sz val="12"/>
      <color theme="1"/>
      <name val="Times New Roman"/>
      <family val="1"/>
    </font>
    <font>
      <u val="doubleAccounting"/>
      <sz val="10"/>
      <color theme="1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i/>
      <u/>
      <sz val="10"/>
      <color theme="1"/>
      <name val="Times New Roman"/>
      <family val="1"/>
    </font>
    <font>
      <b/>
      <u val="singleAccounting"/>
      <sz val="12"/>
      <color theme="1"/>
      <name val="Times New Roman"/>
      <family val="1"/>
    </font>
    <font>
      <b/>
      <i/>
      <sz val="12"/>
      <name val="Times New Roman"/>
      <family val="1"/>
    </font>
    <font>
      <b/>
      <i/>
      <sz val="12"/>
      <color theme="1"/>
      <name val="Times New Roman"/>
      <family val="1"/>
    </font>
    <font>
      <b/>
      <u/>
      <sz val="10"/>
      <color theme="1"/>
      <name val="Times New Roman"/>
      <family val="1"/>
    </font>
    <font>
      <b/>
      <i/>
      <sz val="12"/>
      <color rgb="FFFF0000"/>
      <name val="Times New Roman"/>
      <family val="1"/>
    </font>
    <font>
      <b/>
      <i/>
      <u val="double"/>
      <sz val="12"/>
      <color theme="1"/>
      <name val="Times New Roman"/>
      <family val="1"/>
    </font>
    <font>
      <b/>
      <sz val="10"/>
      <name val="Times New Roman"/>
      <family val="1"/>
    </font>
    <font>
      <b/>
      <u/>
      <sz val="12"/>
      <name val="Times New Roman"/>
      <family val="1"/>
    </font>
    <font>
      <u val="singleAccounting"/>
      <sz val="10"/>
      <name val="Times New Roman"/>
      <family val="1"/>
    </font>
    <font>
      <sz val="10"/>
      <color rgb="FFFF0000"/>
      <name val="Times New Roman"/>
      <family val="1"/>
    </font>
    <font>
      <sz val="14"/>
      <color theme="1"/>
      <name val="Times New Roman"/>
      <family val="1"/>
    </font>
    <font>
      <sz val="12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/>
      <sz val="11"/>
      <color theme="1"/>
      <name val="Times New Roman"/>
      <family val="1"/>
    </font>
    <font>
      <b/>
      <sz val="11"/>
      <color theme="0"/>
      <name val="Times New Roman"/>
      <family val="1"/>
    </font>
    <font>
      <b/>
      <u/>
      <sz val="11"/>
      <color theme="0"/>
      <name val="Times New Roman"/>
      <family val="1"/>
    </font>
    <font>
      <b/>
      <i/>
      <u/>
      <sz val="11"/>
      <color theme="1"/>
      <name val="Times New Roman"/>
      <family val="1"/>
    </font>
  </fonts>
  <fills count="1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A7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 style="medium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auto="1"/>
      </right>
      <top/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3743705557422"/>
      </left>
      <right/>
      <top/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 style="thin">
        <color indexed="64"/>
      </bottom>
      <diagonal/>
    </border>
    <border>
      <left/>
      <right/>
      <top style="thin">
        <color theme="9"/>
      </top>
      <bottom style="thin">
        <color indexed="64"/>
      </bottom>
      <diagonal/>
    </border>
    <border>
      <left style="thin">
        <color indexed="64"/>
      </left>
      <right/>
      <top style="thin">
        <color theme="9"/>
      </top>
      <bottom style="thin">
        <color indexed="64"/>
      </bottom>
      <diagonal/>
    </border>
    <border>
      <left/>
      <right style="thin">
        <color auto="1"/>
      </right>
      <top style="thin">
        <color theme="9"/>
      </top>
      <bottom style="thin">
        <color auto="1"/>
      </bottom>
      <diagonal/>
    </border>
    <border>
      <left/>
      <right style="thin">
        <color theme="9"/>
      </right>
      <top style="thin">
        <color theme="9"/>
      </top>
      <bottom style="thin">
        <color indexed="64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/>
      <top/>
      <bottom style="thin">
        <color theme="9"/>
      </bottom>
      <diagonal/>
    </border>
    <border>
      <left style="thin">
        <color indexed="64"/>
      </left>
      <right/>
      <top/>
      <bottom style="thin">
        <color theme="9"/>
      </bottom>
      <diagonal/>
    </border>
    <border>
      <left/>
      <right style="thin">
        <color auto="1"/>
      </right>
      <top/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7" tint="0.59996337778862885"/>
      </left>
      <right/>
      <top style="thin">
        <color theme="7" tint="0.59996337778862885"/>
      </top>
      <bottom style="thin">
        <color indexed="64"/>
      </bottom>
      <diagonal/>
    </border>
    <border>
      <left/>
      <right/>
      <top style="thin">
        <color theme="7" tint="0.59996337778862885"/>
      </top>
      <bottom style="thin">
        <color indexed="64"/>
      </bottom>
      <diagonal/>
    </border>
    <border>
      <left style="thin">
        <color indexed="64"/>
      </left>
      <right/>
      <top style="thin">
        <color theme="7" tint="0.59996337778862885"/>
      </top>
      <bottom style="thin">
        <color indexed="64"/>
      </bottom>
      <diagonal/>
    </border>
    <border>
      <left/>
      <right style="thin">
        <color auto="1"/>
      </right>
      <top style="thin">
        <color theme="7" tint="0.59996337778862885"/>
      </top>
      <bottom style="thin">
        <color auto="1"/>
      </bottom>
      <diagonal/>
    </border>
    <border>
      <left/>
      <right style="thin">
        <color theme="7" tint="0.59996337778862885"/>
      </right>
      <top style="thin">
        <color theme="7" tint="0.59996337778862885"/>
      </top>
      <bottom style="thin">
        <color indexed="64"/>
      </bottom>
      <diagonal/>
    </border>
    <border>
      <left style="thin">
        <color theme="7" tint="0.59996337778862885"/>
      </left>
      <right/>
      <top/>
      <bottom style="thin">
        <color theme="7" tint="0.59996337778862885"/>
      </bottom>
      <diagonal/>
    </border>
    <border>
      <left/>
      <right/>
      <top/>
      <bottom style="thin">
        <color theme="7" tint="0.59996337778862885"/>
      </bottom>
      <diagonal/>
    </border>
    <border>
      <left style="thin">
        <color indexed="64"/>
      </left>
      <right/>
      <top/>
      <bottom style="thin">
        <color theme="7" tint="0.59996337778862885"/>
      </bottom>
      <diagonal/>
    </border>
    <border>
      <left/>
      <right style="thin">
        <color auto="1"/>
      </right>
      <top/>
      <bottom style="thin">
        <color theme="7" tint="0.59996337778862885"/>
      </bottom>
      <diagonal/>
    </border>
    <border>
      <left/>
      <right style="thin">
        <color theme="7" tint="0.59996337778862885"/>
      </right>
      <top/>
      <bottom style="thin">
        <color theme="7" tint="0.59996337778862885"/>
      </bottom>
      <diagonal/>
    </border>
    <border>
      <left style="thin">
        <color theme="2" tint="-0.24994659260841701"/>
      </left>
      <right/>
      <top style="thin">
        <color theme="2" tint="-0.24994659260841701"/>
      </top>
      <bottom style="thin">
        <color indexed="64"/>
      </bottom>
      <diagonal/>
    </border>
    <border>
      <left/>
      <right/>
      <top style="thin">
        <color theme="2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/>
      <right style="thin">
        <color auto="1"/>
      </right>
      <top style="thin">
        <color theme="2" tint="-0.24994659260841701"/>
      </top>
      <bottom style="thin">
        <color auto="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indexed="64"/>
      </bottom>
      <diagonal/>
    </border>
    <border>
      <left style="thin">
        <color theme="2" tint="-0.24994659260841701"/>
      </left>
      <right/>
      <top/>
      <bottom style="thin">
        <color theme="2" tint="-0.24994659260841701"/>
      </bottom>
      <diagonal/>
    </border>
    <border>
      <left/>
      <right/>
      <top/>
      <bottom style="thin">
        <color theme="2" tint="-0.24994659260841701"/>
      </bottom>
      <diagonal/>
    </border>
    <border>
      <left style="thin">
        <color indexed="64"/>
      </left>
      <right/>
      <top/>
      <bottom style="thin">
        <color theme="2" tint="-0.24994659260841701"/>
      </bottom>
      <diagonal/>
    </border>
    <border>
      <left/>
      <right style="thin">
        <color auto="1"/>
      </right>
      <top/>
      <bottom style="thin">
        <color theme="2" tint="-0.24994659260841701"/>
      </bottom>
      <diagonal/>
    </border>
    <border>
      <left/>
      <right style="thin">
        <color theme="2" tint="-0.24994659260841701"/>
      </right>
      <top/>
      <bottom style="thin">
        <color theme="2" tint="-0.24994659260841701"/>
      </bottom>
      <diagonal/>
    </border>
    <border>
      <left style="medium">
        <color indexed="64"/>
      </left>
      <right/>
      <top style="thin">
        <color theme="9"/>
      </top>
      <bottom style="thin">
        <color indexed="64"/>
      </bottom>
      <diagonal/>
    </border>
    <border>
      <left/>
      <right style="medium">
        <color indexed="64"/>
      </right>
      <top style="thin">
        <color theme="9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9"/>
      </bottom>
      <diagonal/>
    </border>
    <border>
      <left/>
      <right style="medium">
        <color indexed="64"/>
      </right>
      <top/>
      <bottom style="thin">
        <color theme="9"/>
      </bottom>
      <diagonal/>
    </border>
    <border>
      <left style="medium">
        <color indexed="64"/>
      </left>
      <right/>
      <top style="thin">
        <color theme="7" tint="0.59996337778862885"/>
      </top>
      <bottom style="thin">
        <color indexed="64"/>
      </bottom>
      <diagonal/>
    </border>
    <border>
      <left/>
      <right style="medium">
        <color indexed="64"/>
      </right>
      <top style="thin">
        <color theme="7" tint="0.59996337778862885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7" tint="0.59996337778862885"/>
      </bottom>
      <diagonal/>
    </border>
    <border>
      <left/>
      <right style="medium">
        <color indexed="64"/>
      </right>
      <top/>
      <bottom style="thin">
        <color theme="7" tint="0.59996337778862885"/>
      </bottom>
      <diagonal/>
    </border>
    <border>
      <left style="medium">
        <color indexed="64"/>
      </left>
      <right/>
      <top style="thin">
        <color theme="2" tint="-0.24994659260841701"/>
      </top>
      <bottom style="thin">
        <color indexed="64"/>
      </bottom>
      <diagonal/>
    </border>
    <border>
      <left/>
      <right style="medium">
        <color indexed="64"/>
      </right>
      <top style="thin">
        <color theme="2" tint="-0.2499465926084170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theme="2" tint="-0.24994659260841701"/>
      </bottom>
      <diagonal/>
    </border>
    <border>
      <left/>
      <right style="medium">
        <color indexed="64"/>
      </right>
      <top/>
      <bottom style="thin">
        <color theme="2" tint="-0.24994659260841701"/>
      </bottom>
      <diagonal/>
    </border>
    <border>
      <left style="thin">
        <color indexed="64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auto="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indexed="64"/>
      </right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indexed="64"/>
      </right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70">
    <xf numFmtId="0" fontId="0" fillId="0" borderId="0" xfId="0"/>
    <xf numFmtId="0" fontId="1" fillId="0" borderId="0" xfId="0" applyFont="1"/>
    <xf numFmtId="9" fontId="1" fillId="0" borderId="0" xfId="0" applyNumberFormat="1" applyFont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5" borderId="0" xfId="0" applyFont="1" applyFill="1" applyBorder="1"/>
    <xf numFmtId="0" fontId="25" fillId="2" borderId="0" xfId="0" applyFont="1" applyFill="1"/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Protection="1">
      <protection hidden="1"/>
    </xf>
    <xf numFmtId="0" fontId="1" fillId="2" borderId="0" xfId="0" applyFont="1" applyFill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1" fontId="1" fillId="3" borderId="8" xfId="0" applyNumberFormat="1" applyFont="1" applyFill="1" applyBorder="1" applyAlignment="1" applyProtection="1">
      <alignment horizontal="center"/>
      <protection locked="0" hidden="1"/>
    </xf>
    <xf numFmtId="0" fontId="3" fillId="0" borderId="0" xfId="0" applyFont="1" applyAlignment="1" applyProtection="1">
      <alignment horizontal="center"/>
      <protection hidden="1"/>
    </xf>
    <xf numFmtId="1" fontId="1" fillId="0" borderId="0" xfId="0" applyNumberFormat="1" applyFont="1" applyAlignment="1" applyProtection="1">
      <alignment horizontal="center"/>
      <protection hidden="1"/>
    </xf>
    <xf numFmtId="44" fontId="1" fillId="0" borderId="0" xfId="0" applyNumberFormat="1" applyFont="1" applyProtection="1">
      <protection hidden="1"/>
    </xf>
    <xf numFmtId="0" fontId="3" fillId="0" borderId="5" xfId="0" applyFont="1" applyBorder="1" applyAlignment="1" applyProtection="1">
      <alignment horizontal="center"/>
      <protection hidden="1"/>
    </xf>
    <xf numFmtId="44" fontId="24" fillId="2" borderId="4" xfId="0" applyNumberFormat="1" applyFont="1" applyFill="1" applyBorder="1" applyAlignment="1" applyProtection="1">
      <alignment horizontal="center"/>
      <protection hidden="1"/>
    </xf>
    <xf numFmtId="44" fontId="3" fillId="0" borderId="4" xfId="0" applyNumberFormat="1" applyFont="1" applyBorder="1" applyAlignment="1" applyProtection="1">
      <alignment horizontal="center"/>
      <protection hidden="1"/>
    </xf>
    <xf numFmtId="44" fontId="3" fillId="0" borderId="13" xfId="0" applyNumberFormat="1" applyFont="1" applyBorder="1" applyAlignment="1" applyProtection="1">
      <alignment horizontal="center"/>
      <protection hidden="1"/>
    </xf>
    <xf numFmtId="37" fontId="1" fillId="0" borderId="0" xfId="0" applyNumberFormat="1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/>
      <protection hidden="1"/>
    </xf>
    <xf numFmtId="37" fontId="4" fillId="0" borderId="0" xfId="0" applyNumberFormat="1" applyFont="1" applyAlignment="1" applyProtection="1">
      <alignment horizontal="center"/>
      <protection hidden="1"/>
    </xf>
    <xf numFmtId="0" fontId="24" fillId="2" borderId="0" xfId="0" applyFont="1" applyFill="1" applyAlignment="1" applyProtection="1">
      <alignment horizontal="center"/>
      <protection hidden="1"/>
    </xf>
    <xf numFmtId="0" fontId="1" fillId="0" borderId="0" xfId="0" applyFont="1" applyBorder="1" applyAlignment="1" applyProtection="1">
      <protection hidden="1"/>
    </xf>
    <xf numFmtId="0" fontId="1" fillId="0" borderId="1" xfId="0" applyFont="1" applyBorder="1" applyAlignment="1" applyProtection="1">
      <protection hidden="1"/>
    </xf>
    <xf numFmtId="0" fontId="1" fillId="2" borderId="1" xfId="0" applyFont="1" applyFill="1" applyBorder="1" applyProtection="1">
      <protection hidden="1"/>
    </xf>
    <xf numFmtId="0" fontId="1" fillId="0" borderId="1" xfId="0" applyFont="1" applyBorder="1" applyAlignment="1" applyProtection="1">
      <alignment horizontal="center"/>
      <protection hidden="1"/>
    </xf>
    <xf numFmtId="44" fontId="1" fillId="0" borderId="1" xfId="0" applyNumberFormat="1" applyFont="1" applyBorder="1" applyProtection="1">
      <protection hidden="1"/>
    </xf>
    <xf numFmtId="0" fontId="1" fillId="0" borderId="1" xfId="0" applyFont="1" applyBorder="1" applyProtection="1">
      <protection hidden="1"/>
    </xf>
    <xf numFmtId="0" fontId="3" fillId="0" borderId="0" xfId="0" applyFont="1" applyFill="1" applyProtection="1">
      <protection hidden="1"/>
    </xf>
    <xf numFmtId="0" fontId="3" fillId="0" borderId="0" xfId="0" applyFont="1" applyProtection="1">
      <protection hidden="1"/>
    </xf>
    <xf numFmtId="0" fontId="24" fillId="2" borderId="0" xfId="0" applyFont="1" applyFill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center" wrapText="1"/>
      <protection hidden="1"/>
    </xf>
    <xf numFmtId="0" fontId="3" fillId="2" borderId="0" xfId="0" applyFont="1" applyFill="1" applyProtection="1">
      <protection hidden="1"/>
    </xf>
    <xf numFmtId="8" fontId="3" fillId="0" borderId="0" xfId="0" applyNumberFormat="1" applyFont="1" applyAlignment="1" applyProtection="1">
      <alignment horizontal="center"/>
      <protection hidden="1"/>
    </xf>
    <xf numFmtId="8" fontId="24" fillId="2" borderId="0" xfId="0" applyNumberFormat="1" applyFont="1" applyFill="1" applyAlignment="1" applyProtection="1">
      <alignment horizontal="center"/>
      <protection hidden="1"/>
    </xf>
    <xf numFmtId="8" fontId="3" fillId="2" borderId="0" xfId="0" applyNumberFormat="1" applyFont="1" applyFill="1" applyProtection="1">
      <protection hidden="1"/>
    </xf>
    <xf numFmtId="8" fontId="3" fillId="0" borderId="0" xfId="0" applyNumberFormat="1" applyFont="1" applyProtection="1">
      <protection hidden="1"/>
    </xf>
    <xf numFmtId="8" fontId="1" fillId="0" borderId="0" xfId="0" applyNumberFormat="1" applyFont="1" applyProtection="1">
      <protection hidden="1"/>
    </xf>
    <xf numFmtId="0" fontId="1" fillId="4" borderId="15" xfId="0" applyFont="1" applyFill="1" applyBorder="1" applyAlignment="1" applyProtection="1">
      <alignment horizontal="center"/>
      <protection locked="0" hidden="1"/>
    </xf>
    <xf numFmtId="44" fontId="1" fillId="3" borderId="15" xfId="0" applyNumberFormat="1" applyFont="1" applyFill="1" applyBorder="1" applyAlignment="1" applyProtection="1">
      <alignment horizontal="center"/>
      <protection locked="0" hidden="1"/>
    </xf>
    <xf numFmtId="0" fontId="1" fillId="2" borderId="0" xfId="0" applyFont="1" applyFill="1" applyBorder="1" applyProtection="1">
      <protection hidden="1"/>
    </xf>
    <xf numFmtId="44" fontId="1" fillId="3" borderId="15" xfId="0" applyNumberFormat="1" applyFont="1" applyFill="1" applyBorder="1" applyProtection="1">
      <protection locked="0" hidden="1"/>
    </xf>
    <xf numFmtId="0" fontId="1" fillId="4" borderId="16" xfId="0" applyFont="1" applyFill="1" applyBorder="1" applyAlignment="1" applyProtection="1">
      <alignment horizontal="center"/>
      <protection locked="0" hidden="1"/>
    </xf>
    <xf numFmtId="0" fontId="1" fillId="3" borderId="16" xfId="0" applyFont="1" applyFill="1" applyBorder="1" applyAlignment="1" applyProtection="1">
      <alignment horizontal="center"/>
      <protection locked="0" hidden="1"/>
    </xf>
    <xf numFmtId="44" fontId="1" fillId="3" borderId="16" xfId="0" applyNumberFormat="1" applyFont="1" applyFill="1" applyBorder="1" applyAlignment="1" applyProtection="1">
      <alignment horizontal="center"/>
      <protection locked="0" hidden="1"/>
    </xf>
    <xf numFmtId="44" fontId="1" fillId="3" borderId="16" xfId="0" applyNumberFormat="1" applyFont="1" applyFill="1" applyBorder="1" applyProtection="1">
      <protection locked="0" hidden="1"/>
    </xf>
    <xf numFmtId="0" fontId="1" fillId="4" borderId="17" xfId="0" applyFont="1" applyFill="1" applyBorder="1" applyAlignment="1" applyProtection="1">
      <alignment horizontal="center"/>
      <protection locked="0" hidden="1"/>
    </xf>
    <xf numFmtId="0" fontId="1" fillId="3" borderId="17" xfId="0" applyFont="1" applyFill="1" applyBorder="1" applyAlignment="1" applyProtection="1">
      <alignment horizontal="center"/>
      <protection locked="0" hidden="1"/>
    </xf>
    <xf numFmtId="44" fontId="1" fillId="3" borderId="17" xfId="0" applyNumberFormat="1" applyFont="1" applyFill="1" applyBorder="1" applyProtection="1">
      <protection locked="0" hidden="1"/>
    </xf>
    <xf numFmtId="0" fontId="1" fillId="0" borderId="0" xfId="0" applyFont="1" applyFill="1" applyProtection="1">
      <protection hidden="1"/>
    </xf>
    <xf numFmtId="44" fontId="1" fillId="0" borderId="0" xfId="0" applyNumberFormat="1" applyFont="1" applyAlignment="1" applyProtection="1">
      <alignment horizontal="center"/>
      <protection hidden="1"/>
    </xf>
    <xf numFmtId="0" fontId="1" fillId="0" borderId="16" xfId="0" applyNumberFormat="1" applyFont="1" applyFill="1" applyBorder="1" applyProtection="1">
      <protection hidden="1"/>
    </xf>
    <xf numFmtId="0" fontId="1" fillId="0" borderId="17" xfId="0" applyNumberFormat="1" applyFont="1" applyFill="1" applyBorder="1" applyProtection="1">
      <protection hidden="1"/>
    </xf>
    <xf numFmtId="44" fontId="1" fillId="0" borderId="0" xfId="0" applyNumberFormat="1" applyFont="1" applyFill="1" applyProtection="1">
      <protection hidden="1"/>
    </xf>
    <xf numFmtId="2" fontId="1" fillId="0" borderId="0" xfId="0" applyNumberFormat="1" applyFont="1" applyFill="1" applyProtection="1">
      <protection hidden="1"/>
    </xf>
    <xf numFmtId="0" fontId="1" fillId="0" borderId="0" xfId="0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left"/>
      <protection hidden="1"/>
    </xf>
    <xf numFmtId="44" fontId="1" fillId="0" borderId="0" xfId="0" applyNumberFormat="1" applyFont="1" applyFill="1" applyAlignment="1" applyProtection="1">
      <alignment horizontal="center"/>
      <protection hidden="1"/>
    </xf>
    <xf numFmtId="44" fontId="24" fillId="2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Protection="1">
      <protection hidden="1"/>
    </xf>
    <xf numFmtId="44" fontId="1" fillId="0" borderId="0" xfId="0" applyNumberFormat="1" applyFont="1" applyFill="1" applyAlignment="1" applyProtection="1">
      <protection hidden="1"/>
    </xf>
    <xf numFmtId="44" fontId="1" fillId="0" borderId="9" xfId="0" applyNumberFormat="1" applyFont="1" applyFill="1" applyBorder="1" applyAlignment="1" applyProtection="1">
      <protection hidden="1"/>
    </xf>
    <xf numFmtId="44" fontId="1" fillId="0" borderId="9" xfId="0" applyNumberFormat="1" applyFont="1" applyFill="1" applyBorder="1" applyProtection="1"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Font="1" applyFill="1" applyAlignment="1" applyProtection="1">
      <protection hidden="1"/>
    </xf>
    <xf numFmtId="44" fontId="19" fillId="0" borderId="0" xfId="0" applyNumberFormat="1" applyFont="1" applyFill="1" applyProtection="1">
      <protection hidden="1"/>
    </xf>
    <xf numFmtId="44" fontId="19" fillId="0" borderId="9" xfId="0" applyNumberFormat="1" applyFont="1" applyFill="1" applyBorder="1" applyProtection="1">
      <protection hidden="1"/>
    </xf>
    <xf numFmtId="44" fontId="19" fillId="0" borderId="0" xfId="0" applyNumberFormat="1" applyFont="1" applyFill="1" applyAlignment="1" applyProtection="1">
      <alignment horizontal="center"/>
      <protection hidden="1"/>
    </xf>
    <xf numFmtId="44" fontId="3" fillId="6" borderId="0" xfId="0" applyNumberFormat="1" applyFont="1" applyFill="1" applyAlignment="1" applyProtection="1">
      <alignment vertical="center"/>
      <protection hidden="1"/>
    </xf>
    <xf numFmtId="2" fontId="3" fillId="0" borderId="0" xfId="0" applyNumberFormat="1" applyFont="1" applyFill="1" applyProtection="1">
      <protection hidden="1"/>
    </xf>
    <xf numFmtId="0" fontId="3" fillId="0" borderId="2" xfId="0" applyFont="1" applyFill="1" applyBorder="1" applyAlignment="1" applyProtection="1">
      <alignment horizontal="center" vertical="center"/>
      <protection hidden="1"/>
    </xf>
    <xf numFmtId="14" fontId="1" fillId="0" borderId="0" xfId="0" applyNumberFormat="1" applyFont="1" applyFill="1" applyProtection="1">
      <protection hidden="1"/>
    </xf>
    <xf numFmtId="14" fontId="1" fillId="6" borderId="15" xfId="0" applyNumberFormat="1" applyFont="1" applyFill="1" applyBorder="1" applyProtection="1">
      <protection locked="0" hidden="1"/>
    </xf>
    <xf numFmtId="0" fontId="1" fillId="4" borderId="15" xfId="0" applyFont="1" applyFill="1" applyBorder="1" applyAlignment="1" applyProtection="1">
      <alignment horizontal="left" wrapText="1"/>
      <protection locked="0" hidden="1"/>
    </xf>
    <xf numFmtId="14" fontId="1" fillId="6" borderId="16" xfId="0" applyNumberFormat="1" applyFont="1" applyFill="1" applyBorder="1" applyProtection="1">
      <protection locked="0" hidden="1"/>
    </xf>
    <xf numFmtId="0" fontId="1" fillId="4" borderId="16" xfId="0" applyFont="1" applyFill="1" applyBorder="1" applyAlignment="1" applyProtection="1">
      <alignment horizontal="left" wrapText="1"/>
      <protection locked="0" hidden="1"/>
    </xf>
    <xf numFmtId="14" fontId="1" fillId="6" borderId="17" xfId="0" applyNumberFormat="1" applyFont="1" applyFill="1" applyBorder="1" applyProtection="1">
      <protection locked="0" hidden="1"/>
    </xf>
    <xf numFmtId="0" fontId="1" fillId="4" borderId="17" xfId="0" applyFont="1" applyFill="1" applyBorder="1" applyAlignment="1" applyProtection="1">
      <alignment horizontal="left" wrapText="1"/>
      <protection locked="0" hidden="1"/>
    </xf>
    <xf numFmtId="44" fontId="1" fillId="6" borderId="0" xfId="0" applyNumberFormat="1" applyFont="1" applyFill="1" applyProtection="1">
      <protection hidden="1"/>
    </xf>
    <xf numFmtId="0" fontId="1" fillId="0" borderId="10" xfId="0" applyFont="1" applyBorder="1" applyProtection="1">
      <protection hidden="1"/>
    </xf>
    <xf numFmtId="44" fontId="4" fillId="0" borderId="0" xfId="0" applyNumberFormat="1" applyFont="1" applyProtection="1">
      <protection hidden="1"/>
    </xf>
    <xf numFmtId="9" fontId="1" fillId="0" borderId="0" xfId="0" applyNumberFormat="1" applyFont="1" applyProtection="1">
      <protection hidden="1"/>
    </xf>
    <xf numFmtId="0" fontId="1" fillId="0" borderId="0" xfId="0" applyNumberFormat="1" applyFont="1" applyAlignment="1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164" fontId="3" fillId="0" borderId="1" xfId="0" applyNumberFormat="1" applyFont="1" applyBorder="1" applyAlignment="1" applyProtection="1">
      <alignment horizontal="center"/>
      <protection hidden="1"/>
    </xf>
    <xf numFmtId="44" fontId="1" fillId="0" borderId="0" xfId="0" applyNumberFormat="1" applyFont="1" applyAlignment="1" applyProtection="1">
      <protection hidden="1"/>
    </xf>
    <xf numFmtId="44" fontId="1" fillId="0" borderId="15" xfId="0" applyNumberFormat="1" applyFont="1" applyBorder="1" applyAlignment="1" applyProtection="1">
      <alignment horizontal="center"/>
      <protection hidden="1"/>
    </xf>
    <xf numFmtId="44" fontId="1" fillId="6" borderId="15" xfId="0" applyNumberFormat="1" applyFont="1" applyFill="1" applyBorder="1" applyAlignment="1" applyProtection="1">
      <alignment horizontal="center"/>
      <protection locked="0" hidden="1"/>
    </xf>
    <xf numFmtId="44" fontId="1" fillId="3" borderId="19" xfId="0" applyNumberFormat="1" applyFont="1" applyFill="1" applyBorder="1" applyAlignment="1" applyProtection="1">
      <alignment horizontal="center"/>
      <protection locked="0" hidden="1"/>
    </xf>
    <xf numFmtId="44" fontId="1" fillId="6" borderId="20" xfId="0" applyNumberFormat="1" applyFont="1" applyFill="1" applyBorder="1" applyAlignment="1" applyProtection="1">
      <alignment horizontal="center"/>
      <protection locked="0" hidden="1"/>
    </xf>
    <xf numFmtId="44" fontId="1" fillId="3" borderId="20" xfId="0" applyNumberFormat="1" applyFont="1" applyFill="1" applyBorder="1" applyAlignment="1" applyProtection="1">
      <alignment horizontal="center"/>
      <protection locked="0" hidden="1"/>
    </xf>
    <xf numFmtId="44" fontId="1" fillId="6" borderId="16" xfId="0" applyNumberFormat="1" applyFont="1" applyFill="1" applyBorder="1" applyAlignment="1" applyProtection="1">
      <alignment horizontal="center"/>
      <protection locked="0" hidden="1"/>
    </xf>
    <xf numFmtId="44" fontId="1" fillId="3" borderId="21" xfId="0" applyNumberFormat="1" applyFont="1" applyFill="1" applyBorder="1" applyAlignment="1" applyProtection="1">
      <alignment horizontal="center"/>
      <protection locked="0" hidden="1"/>
    </xf>
    <xf numFmtId="44" fontId="1" fillId="6" borderId="22" xfId="0" applyNumberFormat="1" applyFont="1" applyFill="1" applyBorder="1" applyAlignment="1" applyProtection="1">
      <alignment horizontal="center"/>
      <protection locked="0" hidden="1"/>
    </xf>
    <xf numFmtId="44" fontId="1" fillId="3" borderId="22" xfId="0" applyNumberFormat="1" applyFont="1" applyFill="1" applyBorder="1" applyAlignment="1" applyProtection="1">
      <alignment horizontal="center"/>
      <protection locked="0" hidden="1"/>
    </xf>
    <xf numFmtId="44" fontId="1" fillId="6" borderId="17" xfId="0" applyNumberFormat="1" applyFont="1" applyFill="1" applyBorder="1" applyAlignment="1" applyProtection="1">
      <alignment horizontal="center"/>
      <protection locked="0" hidden="1"/>
    </xf>
    <xf numFmtId="44" fontId="1" fillId="3" borderId="23" xfId="0" applyNumberFormat="1" applyFont="1" applyFill="1" applyBorder="1" applyAlignment="1" applyProtection="1">
      <alignment horizontal="center"/>
      <protection locked="0" hidden="1"/>
    </xf>
    <xf numFmtId="44" fontId="1" fillId="6" borderId="24" xfId="0" applyNumberFormat="1" applyFont="1" applyFill="1" applyBorder="1" applyAlignment="1" applyProtection="1">
      <alignment horizontal="center"/>
      <protection locked="0" hidden="1"/>
    </xf>
    <xf numFmtId="44" fontId="1" fillId="3" borderId="24" xfId="0" applyNumberFormat="1" applyFont="1" applyFill="1" applyBorder="1" applyAlignment="1" applyProtection="1">
      <alignment horizontal="center"/>
      <protection locked="0" hidden="1"/>
    </xf>
    <xf numFmtId="44" fontId="3" fillId="0" borderId="2" xfId="0" applyNumberFormat="1" applyFont="1" applyBorder="1" applyAlignment="1" applyProtection="1">
      <alignment horizontal="center"/>
      <protection hidden="1"/>
    </xf>
    <xf numFmtId="44" fontId="24" fillId="2" borderId="2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protection hidden="1"/>
    </xf>
    <xf numFmtId="0" fontId="1" fillId="0" borderId="2" xfId="0" applyFont="1" applyBorder="1" applyProtection="1">
      <protection hidden="1"/>
    </xf>
    <xf numFmtId="0" fontId="3" fillId="2" borderId="0" xfId="0" applyFont="1" applyFill="1" applyAlignment="1" applyProtection="1">
      <protection hidden="1"/>
    </xf>
    <xf numFmtId="44" fontId="1" fillId="6" borderId="0" xfId="0" applyNumberFormat="1" applyFont="1" applyFill="1" applyAlignment="1" applyProtection="1">
      <alignment horizontal="center"/>
      <protection hidden="1"/>
    </xf>
    <xf numFmtId="44" fontId="1" fillId="6" borderId="2" xfId="0" applyNumberFormat="1" applyFont="1" applyFill="1" applyBorder="1" applyAlignment="1" applyProtection="1">
      <alignment horizontal="center"/>
      <protection hidden="1"/>
    </xf>
    <xf numFmtId="0" fontId="1" fillId="0" borderId="0" xfId="0" applyFont="1" applyAlignment="1" applyProtection="1">
      <protection hidden="1"/>
    </xf>
    <xf numFmtId="44" fontId="6" fillId="0" borderId="0" xfId="0" applyNumberFormat="1" applyFont="1" applyProtection="1">
      <protection hidden="1"/>
    </xf>
    <xf numFmtId="0" fontId="6" fillId="2" borderId="0" xfId="0" applyFont="1" applyFill="1" applyAlignment="1" applyProtection="1">
      <protection hidden="1"/>
    </xf>
    <xf numFmtId="0" fontId="6" fillId="0" borderId="0" xfId="0" applyFont="1" applyFill="1" applyAlignment="1" applyProtection="1">
      <protection hidden="1"/>
    </xf>
    <xf numFmtId="44" fontId="4" fillId="6" borderId="0" xfId="0" applyNumberFormat="1" applyFont="1" applyFill="1" applyAlignment="1" applyProtection="1">
      <alignment horizontal="center"/>
      <protection hidden="1"/>
    </xf>
    <xf numFmtId="44" fontId="4" fillId="6" borderId="2" xfId="0" applyNumberFormat="1" applyFont="1" applyFill="1" applyBorder="1" applyAlignment="1" applyProtection="1">
      <alignment horizontal="center"/>
      <protection hidden="1"/>
    </xf>
    <xf numFmtId="44" fontId="2" fillId="2" borderId="0" xfId="0" applyNumberFormat="1" applyFont="1" applyFill="1" applyProtection="1">
      <protection hidden="1"/>
    </xf>
    <xf numFmtId="44" fontId="2" fillId="0" borderId="0" xfId="0" applyNumberFormat="1" applyFont="1" applyProtection="1">
      <protection hidden="1"/>
    </xf>
    <xf numFmtId="44" fontId="1" fillId="2" borderId="0" xfId="0" applyNumberFormat="1" applyFont="1" applyFill="1" applyAlignment="1" applyProtection="1">
      <alignment horizontal="center"/>
      <protection hidden="1"/>
    </xf>
    <xf numFmtId="44" fontId="6" fillId="6" borderId="0" xfId="0" applyNumberFormat="1" applyFont="1" applyFill="1" applyBorder="1" applyAlignment="1" applyProtection="1">
      <alignment horizontal="center"/>
      <protection hidden="1"/>
    </xf>
    <xf numFmtId="44" fontId="6" fillId="6" borderId="2" xfId="0" applyNumberFormat="1" applyFont="1" applyFill="1" applyBorder="1" applyAlignment="1" applyProtection="1">
      <alignment horizontal="center"/>
      <protection hidden="1"/>
    </xf>
    <xf numFmtId="44" fontId="6" fillId="6" borderId="0" xfId="0" applyNumberFormat="1" applyFont="1" applyFill="1" applyAlignment="1" applyProtection="1">
      <alignment horizontal="center"/>
      <protection hidden="1"/>
    </xf>
    <xf numFmtId="0" fontId="1" fillId="6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8" fillId="6" borderId="0" xfId="0" applyFont="1" applyFill="1" applyProtection="1">
      <protection hidden="1"/>
    </xf>
    <xf numFmtId="0" fontId="8" fillId="2" borderId="0" xfId="0" applyFont="1" applyFill="1" applyProtection="1">
      <protection hidden="1"/>
    </xf>
    <xf numFmtId="44" fontId="8" fillId="6" borderId="2" xfId="0" applyNumberFormat="1" applyFont="1" applyFill="1" applyBorder="1" applyAlignment="1" applyProtection="1">
      <alignment horizontal="center"/>
      <protection hidden="1"/>
    </xf>
    <xf numFmtId="0" fontId="4" fillId="2" borderId="0" xfId="0" applyFont="1" applyFill="1" applyProtection="1">
      <protection hidden="1"/>
    </xf>
    <xf numFmtId="0" fontId="5" fillId="0" borderId="0" xfId="0" applyFont="1" applyProtection="1">
      <protection hidden="1"/>
    </xf>
    <xf numFmtId="44" fontId="10" fillId="0" borderId="0" xfId="0" applyNumberFormat="1" applyFont="1" applyProtection="1">
      <protection hidden="1"/>
    </xf>
    <xf numFmtId="44" fontId="10" fillId="6" borderId="0" xfId="0" applyNumberFormat="1" applyFont="1" applyFill="1" applyAlignment="1" applyProtection="1">
      <alignment horizontal="center"/>
      <protection hidden="1"/>
    </xf>
    <xf numFmtId="44" fontId="10" fillId="6" borderId="2" xfId="0" applyNumberFormat="1" applyFont="1" applyFill="1" applyBorder="1" applyAlignment="1" applyProtection="1">
      <alignment horizontal="center"/>
      <protection hidden="1"/>
    </xf>
    <xf numFmtId="44" fontId="6" fillId="6" borderId="0" xfId="0" applyNumberFormat="1" applyFont="1" applyFill="1" applyProtection="1">
      <protection hidden="1"/>
    </xf>
    <xf numFmtId="0" fontId="16" fillId="0" borderId="0" xfId="0" applyFont="1" applyProtection="1">
      <protection hidden="1"/>
    </xf>
    <xf numFmtId="44" fontId="27" fillId="0" borderId="0" xfId="0" applyNumberFormat="1" applyFont="1" applyProtection="1">
      <protection hidden="1"/>
    </xf>
    <xf numFmtId="44" fontId="27" fillId="6" borderId="0" xfId="0" applyNumberFormat="1" applyFont="1" applyFill="1" applyProtection="1">
      <protection hidden="1"/>
    </xf>
    <xf numFmtId="0" fontId="16" fillId="2" borderId="0" xfId="0" applyFont="1" applyFill="1" applyProtection="1">
      <protection hidden="1"/>
    </xf>
    <xf numFmtId="44" fontId="28" fillId="0" borderId="0" xfId="0" applyNumberFormat="1" applyFont="1" applyProtection="1">
      <protection hidden="1"/>
    </xf>
    <xf numFmtId="44" fontId="28" fillId="6" borderId="0" xfId="0" applyNumberFormat="1" applyFont="1" applyFill="1" applyProtection="1">
      <protection hidden="1"/>
    </xf>
    <xf numFmtId="44" fontId="27" fillId="6" borderId="2" xfId="0" applyNumberFormat="1" applyFont="1" applyFill="1" applyBorder="1" applyAlignment="1" applyProtection="1">
      <alignment horizontal="center"/>
      <protection hidden="1"/>
    </xf>
    <xf numFmtId="0" fontId="16" fillId="6" borderId="0" xfId="0" applyFont="1" applyFill="1" applyProtection="1">
      <protection hidden="1"/>
    </xf>
    <xf numFmtId="0" fontId="15" fillId="0" borderId="0" xfId="0" applyFont="1" applyProtection="1">
      <protection hidden="1"/>
    </xf>
    <xf numFmtId="0" fontId="15" fillId="6" borderId="0" xfId="0" applyFont="1" applyFill="1" applyProtection="1">
      <protection hidden="1"/>
    </xf>
    <xf numFmtId="44" fontId="16" fillId="6" borderId="0" xfId="0" applyNumberFormat="1" applyFont="1" applyFill="1" applyAlignment="1" applyProtection="1">
      <alignment horizontal="center"/>
      <protection hidden="1"/>
    </xf>
    <xf numFmtId="44" fontId="16" fillId="6" borderId="2" xfId="0" applyNumberFormat="1" applyFont="1" applyFill="1" applyBorder="1" applyAlignment="1" applyProtection="1">
      <alignment horizontal="center"/>
      <protection hidden="1"/>
    </xf>
    <xf numFmtId="44" fontId="32" fillId="6" borderId="0" xfId="0" applyNumberFormat="1" applyFont="1" applyFill="1" applyAlignment="1" applyProtection="1">
      <alignment horizontal="center"/>
      <protection hidden="1"/>
    </xf>
    <xf numFmtId="44" fontId="32" fillId="6" borderId="2" xfId="0" applyNumberFormat="1" applyFont="1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center"/>
      <protection hidden="1"/>
    </xf>
    <xf numFmtId="0" fontId="23" fillId="2" borderId="1" xfId="0" applyFont="1" applyFill="1" applyBorder="1" applyAlignment="1" applyProtection="1">
      <alignment horizontal="center" vertical="center" wrapText="1"/>
      <protection hidden="1"/>
    </xf>
    <xf numFmtId="0" fontId="24" fillId="2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wrapText="1"/>
      <protection hidden="1"/>
    </xf>
    <xf numFmtId="9" fontId="1" fillId="0" borderId="0" xfId="2" applyNumberFormat="1" applyFont="1" applyProtection="1">
      <protection hidden="1"/>
    </xf>
    <xf numFmtId="44" fontId="1" fillId="2" borderId="0" xfId="0" applyNumberFormat="1" applyFont="1" applyFill="1" applyBorder="1" applyAlignment="1" applyProtection="1">
      <alignment horizontal="center"/>
      <protection hidden="1"/>
    </xf>
    <xf numFmtId="44" fontId="1" fillId="2" borderId="1" xfId="0" applyNumberFormat="1" applyFont="1" applyFill="1" applyBorder="1" applyAlignment="1" applyProtection="1">
      <alignment horizontal="center"/>
      <protection hidden="1"/>
    </xf>
    <xf numFmtId="0" fontId="23" fillId="2" borderId="13" xfId="0" applyFont="1" applyFill="1" applyBorder="1" applyAlignment="1" applyProtection="1">
      <alignment horizontal="center" vertical="center" wrapText="1"/>
      <protection hidden="1"/>
    </xf>
    <xf numFmtId="0" fontId="23" fillId="2" borderId="4" xfId="0" applyFont="1" applyFill="1" applyBorder="1" applyAlignment="1" applyProtection="1">
      <alignment horizontal="center" vertical="center" wrapText="1"/>
      <protection hidden="1"/>
    </xf>
    <xf numFmtId="9" fontId="1" fillId="0" borderId="0" xfId="2" applyFont="1" applyProtection="1">
      <protection hidden="1"/>
    </xf>
    <xf numFmtId="0" fontId="1" fillId="2" borderId="10" xfId="0" applyFont="1" applyFill="1" applyBorder="1" applyProtection="1">
      <protection hidden="1"/>
    </xf>
    <xf numFmtId="0" fontId="1" fillId="0" borderId="14" xfId="0" applyFont="1" applyBorder="1" applyProtection="1">
      <protection hidden="1"/>
    </xf>
    <xf numFmtId="0" fontId="1" fillId="0" borderId="0" xfId="0" applyFont="1" applyBorder="1" applyProtection="1">
      <protection hidden="1"/>
    </xf>
    <xf numFmtId="0" fontId="23" fillId="2" borderId="4" xfId="0" applyFont="1" applyFill="1" applyBorder="1" applyAlignment="1" applyProtection="1">
      <alignment vertical="center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164" fontId="1" fillId="0" borderId="1" xfId="0" applyNumberFormat="1" applyFont="1" applyBorder="1" applyAlignment="1" applyProtection="1">
      <alignment horizontal="center"/>
      <protection hidden="1"/>
    </xf>
    <xf numFmtId="164" fontId="2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1" fillId="0" borderId="10" xfId="0" applyFont="1" applyBorder="1" applyAlignment="1" applyProtection="1">
      <alignment horizontal="center" wrapText="1"/>
      <protection hidden="1"/>
    </xf>
    <xf numFmtId="0" fontId="1" fillId="0" borderId="4" xfId="0" applyFont="1" applyBorder="1" applyProtection="1">
      <protection hidden="1"/>
    </xf>
    <xf numFmtId="0" fontId="1" fillId="2" borderId="4" xfId="0" applyFont="1" applyFill="1" applyBorder="1" applyProtection="1">
      <protection hidden="1"/>
    </xf>
    <xf numFmtId="0" fontId="1" fillId="0" borderId="0" xfId="0" applyNumberFormat="1" applyFont="1" applyProtection="1">
      <protection hidden="1"/>
    </xf>
    <xf numFmtId="0" fontId="3" fillId="0" borderId="3" xfId="0" applyFont="1" applyBorder="1" applyProtection="1">
      <protection hidden="1"/>
    </xf>
    <xf numFmtId="44" fontId="1" fillId="0" borderId="0" xfId="0" applyNumberFormat="1" applyFont="1" applyBorder="1" applyProtection="1">
      <protection hidden="1"/>
    </xf>
    <xf numFmtId="0" fontId="1" fillId="0" borderId="33" xfId="0" applyFont="1" applyBorder="1" applyProtection="1">
      <protection hidden="1"/>
    </xf>
    <xf numFmtId="0" fontId="1" fillId="2" borderId="33" xfId="0" applyFont="1" applyFill="1" applyBorder="1" applyProtection="1">
      <protection hidden="1"/>
    </xf>
    <xf numFmtId="0" fontId="1" fillId="0" borderId="27" xfId="0" applyFont="1" applyBorder="1" applyProtection="1">
      <protection hidden="1"/>
    </xf>
    <xf numFmtId="0" fontId="1" fillId="8" borderId="28" xfId="0" applyFont="1" applyFill="1" applyBorder="1" applyAlignment="1" applyProtection="1">
      <alignment horizontal="center"/>
      <protection hidden="1"/>
    </xf>
    <xf numFmtId="0" fontId="1" fillId="9" borderId="29" xfId="0" applyFont="1" applyFill="1" applyBorder="1" applyAlignment="1" applyProtection="1">
      <alignment horizontal="center"/>
      <protection hidden="1"/>
    </xf>
    <xf numFmtId="0" fontId="1" fillId="10" borderId="30" xfId="0" applyFont="1" applyFill="1" applyBorder="1" applyAlignment="1" applyProtection="1">
      <alignment horizontal="center"/>
      <protection hidden="1"/>
    </xf>
    <xf numFmtId="0" fontId="1" fillId="2" borderId="27" xfId="0" applyFont="1" applyFill="1" applyBorder="1" applyAlignment="1" applyProtection="1">
      <alignment horizontal="center"/>
      <protection hidden="1"/>
    </xf>
    <xf numFmtId="0" fontId="1" fillId="10" borderId="31" xfId="0" applyFont="1" applyFill="1" applyBorder="1" applyAlignment="1" applyProtection="1">
      <alignment horizontal="center"/>
      <protection hidden="1"/>
    </xf>
    <xf numFmtId="44" fontId="1" fillId="2" borderId="33" xfId="0" applyNumberFormat="1" applyFont="1" applyFill="1" applyBorder="1" applyProtection="1">
      <protection hidden="1"/>
    </xf>
    <xf numFmtId="44" fontId="3" fillId="0" borderId="36" xfId="0" applyNumberFormat="1" applyFont="1" applyBorder="1" applyProtection="1">
      <protection hidden="1"/>
    </xf>
    <xf numFmtId="164" fontId="1" fillId="0" borderId="0" xfId="0" applyNumberFormat="1" applyFont="1" applyBorder="1" applyAlignment="1" applyProtection="1">
      <protection hidden="1"/>
    </xf>
    <xf numFmtId="164" fontId="1" fillId="0" borderId="0" xfId="0" applyNumberFormat="1" applyFont="1" applyBorder="1" applyAlignment="1" applyProtection="1">
      <alignment horizontal="center"/>
      <protection hidden="1"/>
    </xf>
    <xf numFmtId="164" fontId="1" fillId="0" borderId="0" xfId="0" applyNumberFormat="1" applyFont="1" applyAlignment="1" applyProtection="1">
      <protection hidden="1"/>
    </xf>
    <xf numFmtId="164" fontId="24" fillId="2" borderId="0" xfId="0" applyNumberFormat="1" applyFont="1" applyFill="1" applyAlignment="1" applyProtection="1">
      <alignment horizontal="center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24" fillId="2" borderId="0" xfId="0" applyFont="1" applyFill="1" applyAlignment="1" applyProtection="1">
      <alignment vertical="center"/>
      <protection hidden="1"/>
    </xf>
    <xf numFmtId="0" fontId="3" fillId="2" borderId="0" xfId="0" applyFont="1" applyFill="1" applyBorder="1" applyProtection="1">
      <protection hidden="1"/>
    </xf>
    <xf numFmtId="0" fontId="24" fillId="2" borderId="0" xfId="0" applyFont="1" applyFill="1" applyAlignment="1" applyProtection="1">
      <alignment horizontal="center" vertical="center"/>
      <protection hidden="1"/>
    </xf>
    <xf numFmtId="0" fontId="1" fillId="0" borderId="15" xfId="0" applyFont="1" applyBorder="1" applyAlignment="1" applyProtection="1">
      <alignment horizontal="center"/>
      <protection hidden="1"/>
    </xf>
    <xf numFmtId="164" fontId="1" fillId="0" borderId="15" xfId="0" applyNumberFormat="1" applyFont="1" applyBorder="1" applyAlignment="1" applyProtection="1">
      <alignment horizontal="center"/>
      <protection hidden="1"/>
    </xf>
    <xf numFmtId="0" fontId="1" fillId="3" borderId="15" xfId="0" applyFont="1" applyFill="1" applyBorder="1" applyProtection="1">
      <protection locked="0" hidden="1"/>
    </xf>
    <xf numFmtId="14" fontId="1" fillId="3" borderId="15" xfId="0" applyNumberFormat="1" applyFont="1" applyFill="1" applyBorder="1" applyProtection="1">
      <protection locked="0" hidden="1"/>
    </xf>
    <xf numFmtId="14" fontId="1" fillId="3" borderId="15" xfId="0" applyNumberFormat="1" applyFont="1" applyFill="1" applyBorder="1" applyAlignment="1" applyProtection="1">
      <alignment horizontal="center"/>
      <protection locked="0" hidden="1"/>
    </xf>
    <xf numFmtId="0" fontId="1" fillId="6" borderId="15" xfId="0" applyFont="1" applyFill="1" applyBorder="1" applyAlignment="1" applyProtection="1">
      <alignment horizontal="center"/>
      <protection locked="0" hidden="1"/>
    </xf>
    <xf numFmtId="0" fontId="1" fillId="0" borderId="16" xfId="0" applyFont="1" applyBorder="1" applyAlignment="1" applyProtection="1">
      <alignment horizontal="center"/>
      <protection hidden="1"/>
    </xf>
    <xf numFmtId="164" fontId="1" fillId="0" borderId="16" xfId="0" applyNumberFormat="1" applyFont="1" applyBorder="1" applyAlignment="1" applyProtection="1">
      <alignment horizontal="center"/>
      <protection hidden="1"/>
    </xf>
    <xf numFmtId="0" fontId="1" fillId="3" borderId="16" xfId="0" applyFont="1" applyFill="1" applyBorder="1" applyProtection="1">
      <protection locked="0" hidden="1"/>
    </xf>
    <xf numFmtId="14" fontId="1" fillId="3" borderId="16" xfId="0" applyNumberFormat="1" applyFont="1" applyFill="1" applyBorder="1" applyProtection="1">
      <protection locked="0" hidden="1"/>
    </xf>
    <xf numFmtId="14" fontId="1" fillId="3" borderId="16" xfId="0" applyNumberFormat="1" applyFont="1" applyFill="1" applyBorder="1" applyAlignment="1" applyProtection="1">
      <alignment horizontal="center"/>
      <protection locked="0" hidden="1"/>
    </xf>
    <xf numFmtId="0" fontId="1" fillId="6" borderId="16" xfId="0" applyFont="1" applyFill="1" applyBorder="1" applyAlignment="1" applyProtection="1">
      <alignment horizontal="center"/>
      <protection locked="0" hidden="1"/>
    </xf>
    <xf numFmtId="0" fontId="1" fillId="6" borderId="16" xfId="0" applyFont="1" applyFill="1" applyBorder="1" applyProtection="1">
      <protection locked="0" hidden="1"/>
    </xf>
    <xf numFmtId="0" fontId="1" fillId="0" borderId="17" xfId="0" applyFont="1" applyBorder="1" applyAlignment="1" applyProtection="1">
      <alignment horizontal="center"/>
      <protection hidden="1"/>
    </xf>
    <xf numFmtId="164" fontId="1" fillId="0" borderId="17" xfId="0" applyNumberFormat="1" applyFont="1" applyBorder="1" applyAlignment="1" applyProtection="1">
      <alignment horizontal="center"/>
      <protection hidden="1"/>
    </xf>
    <xf numFmtId="0" fontId="1" fillId="6" borderId="17" xfId="0" applyFont="1" applyFill="1" applyBorder="1" applyProtection="1">
      <protection locked="0" hidden="1"/>
    </xf>
    <xf numFmtId="0" fontId="1" fillId="3" borderId="17" xfId="0" applyFont="1" applyFill="1" applyBorder="1" applyProtection="1">
      <protection locked="0" hidden="1"/>
    </xf>
    <xf numFmtId="0" fontId="1" fillId="6" borderId="17" xfId="0" applyFont="1" applyFill="1" applyBorder="1" applyAlignment="1" applyProtection="1">
      <alignment horizontal="center"/>
      <protection locked="0" hidden="1"/>
    </xf>
    <xf numFmtId="8" fontId="18" fillId="6" borderId="47" xfId="0" applyNumberFormat="1" applyFont="1" applyFill="1" applyBorder="1" applyProtection="1">
      <protection hidden="1"/>
    </xf>
    <xf numFmtId="8" fontId="18" fillId="6" borderId="48" xfId="0" applyNumberFormat="1" applyFont="1" applyFill="1" applyBorder="1" applyAlignment="1" applyProtection="1">
      <alignment horizontal="center"/>
      <protection hidden="1"/>
    </xf>
    <xf numFmtId="8" fontId="18" fillId="0" borderId="50" xfId="0" applyNumberFormat="1" applyFont="1" applyBorder="1" applyProtection="1">
      <protection hidden="1"/>
    </xf>
    <xf numFmtId="8" fontId="18" fillId="6" borderId="25" xfId="0" applyNumberFormat="1" applyFont="1" applyFill="1" applyBorder="1" applyProtection="1">
      <protection hidden="1"/>
    </xf>
    <xf numFmtId="8" fontId="18" fillId="0" borderId="25" xfId="0" applyNumberFormat="1" applyFont="1" applyBorder="1" applyProtection="1">
      <protection hidden="1"/>
    </xf>
    <xf numFmtId="0" fontId="16" fillId="2" borderId="25" xfId="0" applyFont="1" applyFill="1" applyBorder="1" applyProtection="1">
      <protection hidden="1"/>
    </xf>
    <xf numFmtId="8" fontId="18" fillId="0" borderId="46" xfId="0" applyNumberFormat="1" applyFont="1" applyBorder="1" applyProtection="1">
      <protection hidden="1"/>
    </xf>
    <xf numFmtId="0" fontId="1" fillId="6" borderId="14" xfId="0" applyFont="1" applyFill="1" applyBorder="1" applyAlignment="1" applyProtection="1">
      <alignment horizontal="center" wrapText="1"/>
      <protection hidden="1"/>
    </xf>
    <xf numFmtId="0" fontId="1" fillId="6" borderId="7" xfId="0" applyFont="1" applyFill="1" applyBorder="1" applyProtection="1">
      <protection hidden="1"/>
    </xf>
    <xf numFmtId="9" fontId="1" fillId="6" borderId="1" xfId="2" applyFont="1" applyFill="1" applyBorder="1" applyAlignment="1" applyProtection="1">
      <alignment horizontal="center"/>
      <protection hidden="1"/>
    </xf>
    <xf numFmtId="49" fontId="8" fillId="6" borderId="4" xfId="0" applyNumberFormat="1" applyFont="1" applyFill="1" applyBorder="1" applyAlignment="1" applyProtection="1">
      <alignment horizontal="center"/>
      <protection hidden="1"/>
    </xf>
    <xf numFmtId="0" fontId="1" fillId="6" borderId="0" xfId="0" applyFont="1" applyFill="1" applyAlignment="1" applyProtection="1">
      <alignment horizontal="center" wrapText="1"/>
      <protection hidden="1"/>
    </xf>
    <xf numFmtId="44" fontId="1" fillId="6" borderId="12" xfId="0" applyNumberFormat="1" applyFont="1" applyFill="1" applyBorder="1" applyProtection="1">
      <protection hidden="1"/>
    </xf>
    <xf numFmtId="0" fontId="1" fillId="6" borderId="9" xfId="0" applyFont="1" applyFill="1" applyBorder="1" applyProtection="1">
      <protection hidden="1"/>
    </xf>
    <xf numFmtId="44" fontId="1" fillId="6" borderId="10" xfId="0" applyNumberFormat="1" applyFont="1" applyFill="1" applyBorder="1" applyProtection="1">
      <protection hidden="1"/>
    </xf>
    <xf numFmtId="44" fontId="1" fillId="6" borderId="4" xfId="0" applyNumberFormat="1" applyFont="1" applyFill="1" applyBorder="1" applyProtection="1">
      <protection hidden="1"/>
    </xf>
    <xf numFmtId="0" fontId="1" fillId="6" borderId="10" xfId="0" applyFont="1" applyFill="1" applyBorder="1" applyProtection="1">
      <protection hidden="1"/>
    </xf>
    <xf numFmtId="0" fontId="1" fillId="6" borderId="9" xfId="0" applyFont="1" applyFill="1" applyBorder="1" applyAlignment="1" applyProtection="1">
      <alignment horizontal="center" wrapText="1"/>
      <protection hidden="1"/>
    </xf>
    <xf numFmtId="44" fontId="1" fillId="6" borderId="9" xfId="0" applyNumberFormat="1" applyFont="1" applyFill="1" applyBorder="1" applyProtection="1">
      <protection hidden="1"/>
    </xf>
    <xf numFmtId="0" fontId="1" fillId="6" borderId="12" xfId="0" applyFont="1" applyFill="1" applyBorder="1" applyProtection="1">
      <protection hidden="1"/>
    </xf>
    <xf numFmtId="44" fontId="1" fillId="6" borderId="14" xfId="0" applyNumberFormat="1" applyFont="1" applyFill="1" applyBorder="1" applyProtection="1">
      <protection hidden="1"/>
    </xf>
    <xf numFmtId="44" fontId="1" fillId="6" borderId="13" xfId="0" applyNumberFormat="1" applyFont="1" applyFill="1" applyBorder="1" applyProtection="1">
      <protection hidden="1"/>
    </xf>
    <xf numFmtId="0" fontId="24" fillId="2" borderId="2" xfId="0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9" borderId="29" xfId="0" applyFont="1" applyFill="1" applyBorder="1" applyProtection="1">
      <protection hidden="1"/>
    </xf>
    <xf numFmtId="0" fontId="1" fillId="10" borderId="31" xfId="0" applyFont="1" applyFill="1" applyBorder="1" applyProtection="1">
      <protection hidden="1"/>
    </xf>
    <xf numFmtId="0" fontId="1" fillId="11" borderId="28" xfId="0" applyFont="1" applyFill="1" applyBorder="1" applyProtection="1"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0" fontId="31" fillId="12" borderId="0" xfId="0" applyFont="1" applyFill="1" applyAlignment="1" applyProtection="1">
      <alignment vertical="center"/>
      <protection hidden="1"/>
    </xf>
    <xf numFmtId="0" fontId="34" fillId="12" borderId="0" xfId="0" applyFont="1" applyFill="1" applyAlignment="1" applyProtection="1">
      <alignment horizontal="left" vertical="center" wrapText="1"/>
      <protection hidden="1"/>
    </xf>
    <xf numFmtId="44" fontId="24" fillId="6" borderId="0" xfId="0" applyNumberFormat="1" applyFont="1" applyFill="1" applyAlignment="1" applyProtection="1">
      <alignment horizontal="center"/>
      <protection hidden="1"/>
    </xf>
    <xf numFmtId="44" fontId="24" fillId="6" borderId="2" xfId="0" applyNumberFormat="1" applyFont="1" applyFill="1" applyBorder="1" applyAlignment="1" applyProtection="1">
      <alignment horizontal="center"/>
      <protection hidden="1"/>
    </xf>
    <xf numFmtId="0" fontId="25" fillId="2" borderId="1" xfId="0" applyFont="1" applyFill="1" applyBorder="1" applyAlignment="1" applyProtection="1">
      <protection hidden="1"/>
    </xf>
    <xf numFmtId="0" fontId="1" fillId="6" borderId="0" xfId="0" applyFont="1" applyFill="1" applyAlignment="1" applyProtection="1">
      <protection hidden="1"/>
    </xf>
    <xf numFmtId="44" fontId="19" fillId="0" borderId="0" xfId="0" applyNumberFormat="1" applyFont="1" applyAlignment="1" applyProtection="1">
      <protection hidden="1"/>
    </xf>
    <xf numFmtId="0" fontId="1" fillId="2" borderId="0" xfId="0" applyFont="1" applyFill="1" applyAlignment="1" applyProtection="1">
      <protection hidden="1"/>
    </xf>
    <xf numFmtId="0" fontId="3" fillId="6" borderId="0" xfId="0" applyFont="1" applyFill="1" applyAlignment="1" applyProtection="1">
      <protection hidden="1"/>
    </xf>
    <xf numFmtId="44" fontId="1" fillId="6" borderId="0" xfId="0" applyNumberFormat="1" applyFont="1" applyFill="1" applyAlignment="1" applyProtection="1">
      <protection hidden="1"/>
    </xf>
    <xf numFmtId="44" fontId="1" fillId="6" borderId="2" xfId="0" applyNumberFormat="1" applyFont="1" applyFill="1" applyBorder="1" applyAlignment="1" applyProtection="1">
      <protection hidden="1"/>
    </xf>
    <xf numFmtId="0" fontId="35" fillId="0" borderId="0" xfId="0" applyFont="1" applyAlignment="1" applyProtection="1">
      <protection hidden="1"/>
    </xf>
    <xf numFmtId="0" fontId="35" fillId="13" borderId="0" xfId="0" applyFont="1" applyFill="1" applyAlignment="1" applyProtection="1">
      <alignment wrapText="1"/>
      <protection hidden="1"/>
    </xf>
    <xf numFmtId="44" fontId="5" fillId="0" borderId="0" xfId="0" applyNumberFormat="1" applyFont="1" applyProtection="1">
      <protection hidden="1"/>
    </xf>
    <xf numFmtId="0" fontId="5" fillId="2" borderId="0" xfId="0" applyFont="1" applyFill="1" applyProtection="1">
      <protection hidden="1"/>
    </xf>
    <xf numFmtId="44" fontId="5" fillId="6" borderId="0" xfId="0" applyNumberFormat="1" applyFont="1" applyFill="1" applyAlignment="1" applyProtection="1">
      <alignment horizontal="center"/>
      <protection hidden="1"/>
    </xf>
    <xf numFmtId="44" fontId="5" fillId="6" borderId="2" xfId="0" applyNumberFormat="1" applyFont="1" applyFill="1" applyBorder="1" applyAlignment="1" applyProtection="1">
      <alignment horizontal="center"/>
      <protection hidden="1"/>
    </xf>
    <xf numFmtId="44" fontId="20" fillId="0" borderId="0" xfId="0" applyNumberFormat="1" applyFont="1" applyProtection="1">
      <protection hidden="1"/>
    </xf>
    <xf numFmtId="0" fontId="20" fillId="2" borderId="0" xfId="0" applyFont="1" applyFill="1" applyProtection="1">
      <protection hidden="1"/>
    </xf>
    <xf numFmtId="44" fontId="20" fillId="6" borderId="0" xfId="0" applyNumberFormat="1" applyFont="1" applyFill="1" applyAlignment="1" applyProtection="1">
      <alignment horizontal="center"/>
      <protection hidden="1"/>
    </xf>
    <xf numFmtId="44" fontId="20" fillId="6" borderId="2" xfId="0" applyNumberFormat="1" applyFont="1" applyFill="1" applyBorder="1" applyAlignment="1" applyProtection="1">
      <alignment horizontal="center"/>
      <protection hidden="1"/>
    </xf>
    <xf numFmtId="0" fontId="20" fillId="0" borderId="0" xfId="0" applyFont="1" applyProtection="1">
      <protection hidden="1"/>
    </xf>
    <xf numFmtId="44" fontId="4" fillId="0" borderId="0" xfId="0" applyNumberFormat="1" applyFont="1" applyAlignment="1" applyProtection="1">
      <protection hidden="1"/>
    </xf>
    <xf numFmtId="44" fontId="4" fillId="6" borderId="0" xfId="0" applyNumberFormat="1" applyFont="1" applyFill="1" applyAlignment="1" applyProtection="1">
      <protection hidden="1"/>
    </xf>
    <xf numFmtId="44" fontId="6" fillId="0" borderId="0" xfId="0" applyNumberFormat="1" applyFont="1" applyAlignment="1" applyProtection="1">
      <protection hidden="1"/>
    </xf>
    <xf numFmtId="44" fontId="6" fillId="6" borderId="0" xfId="0" applyNumberFormat="1" applyFont="1" applyFill="1" applyAlignment="1" applyProtection="1">
      <protection hidden="1"/>
    </xf>
    <xf numFmtId="44" fontId="32" fillId="0" borderId="0" xfId="0" applyNumberFormat="1" applyFont="1" applyAlignment="1" applyProtection="1">
      <protection hidden="1"/>
    </xf>
    <xf numFmtId="44" fontId="6" fillId="0" borderId="0" xfId="0" applyNumberFormat="1" applyFont="1" applyFill="1" applyAlignment="1" applyProtection="1">
      <protection hidden="1"/>
    </xf>
    <xf numFmtId="44" fontId="4" fillId="0" borderId="0" xfId="0" applyNumberFormat="1" applyFont="1" applyFill="1" applyAlignment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34" fillId="12" borderId="0" xfId="0" applyFont="1" applyFill="1" applyAlignment="1" applyProtection="1">
      <alignment vertical="center" wrapText="1"/>
      <protection hidden="1"/>
    </xf>
    <xf numFmtId="0" fontId="14" fillId="12" borderId="46" xfId="0" applyFont="1" applyFill="1" applyBorder="1" applyAlignment="1" applyProtection="1">
      <alignment vertical="center" wrapText="1"/>
      <protection hidden="1"/>
    </xf>
    <xf numFmtId="0" fontId="11" fillId="12" borderId="0" xfId="0" applyFont="1" applyFill="1" applyProtection="1">
      <protection hidden="1"/>
    </xf>
    <xf numFmtId="0" fontId="1" fillId="12" borderId="0" xfId="0" applyFont="1" applyFill="1" applyProtection="1">
      <protection hidden="1"/>
    </xf>
    <xf numFmtId="0" fontId="1" fillId="16" borderId="0" xfId="0" applyFont="1" applyFill="1" applyAlignment="1" applyProtection="1">
      <protection hidden="1"/>
    </xf>
    <xf numFmtId="0" fontId="1" fillId="16" borderId="0" xfId="0" applyFont="1" applyFill="1" applyAlignment="1" applyProtection="1">
      <alignment vertical="center" wrapText="1"/>
      <protection hidden="1"/>
    </xf>
    <xf numFmtId="0" fontId="11" fillId="16" borderId="0" xfId="0" applyFont="1" applyFill="1" applyAlignment="1" applyProtection="1">
      <protection hidden="1"/>
    </xf>
    <xf numFmtId="0" fontId="1" fillId="17" borderId="0" xfId="0" applyFont="1" applyFill="1" applyAlignment="1" applyProtection="1">
      <protection hidden="1"/>
    </xf>
    <xf numFmtId="0" fontId="11" fillId="17" borderId="0" xfId="0" applyFont="1" applyFill="1" applyAlignment="1" applyProtection="1">
      <protection hidden="1"/>
    </xf>
    <xf numFmtId="0" fontId="3" fillId="14" borderId="0" xfId="0" applyFont="1" applyFill="1" applyAlignment="1" applyProtection="1">
      <protection hidden="1"/>
    </xf>
    <xf numFmtId="0" fontId="1" fillId="14" borderId="0" xfId="0" applyFont="1" applyFill="1" applyAlignment="1" applyProtection="1">
      <alignment horizontal="left"/>
      <protection hidden="1"/>
    </xf>
    <xf numFmtId="0" fontId="5" fillId="14" borderId="0" xfId="0" applyFont="1" applyFill="1" applyAlignment="1" applyProtection="1">
      <alignment horizontal="left"/>
      <protection hidden="1"/>
    </xf>
    <xf numFmtId="0" fontId="11" fillId="14" borderId="0" xfId="0" applyFont="1" applyFill="1" applyProtection="1">
      <protection hidden="1"/>
    </xf>
    <xf numFmtId="0" fontId="1" fillId="14" borderId="0" xfId="0" applyFont="1" applyFill="1" applyProtection="1">
      <protection hidden="1"/>
    </xf>
    <xf numFmtId="0" fontId="1" fillId="16" borderId="0" xfId="0" applyFont="1" applyFill="1" applyProtection="1">
      <protection hidden="1"/>
    </xf>
    <xf numFmtId="0" fontId="5" fillId="14" borderId="0" xfId="0" applyFont="1" applyFill="1" applyProtection="1">
      <protection hidden="1"/>
    </xf>
    <xf numFmtId="0" fontId="7" fillId="12" borderId="0" xfId="0" applyFont="1" applyFill="1" applyAlignment="1" applyProtection="1">
      <protection hidden="1"/>
    </xf>
    <xf numFmtId="0" fontId="7" fillId="12" borderId="0" xfId="0" applyFont="1" applyFill="1" applyProtection="1">
      <protection hidden="1"/>
    </xf>
    <xf numFmtId="44" fontId="28" fillId="7" borderId="9" xfId="0" applyNumberFormat="1" applyFont="1" applyFill="1" applyBorder="1" applyProtection="1">
      <protection hidden="1"/>
    </xf>
    <xf numFmtId="0" fontId="16" fillId="14" borderId="0" xfId="0" applyFont="1" applyFill="1" applyProtection="1">
      <protection hidden="1"/>
    </xf>
    <xf numFmtId="0" fontId="25" fillId="2" borderId="0" xfId="0" applyFont="1" applyFill="1" applyBorder="1" applyAlignment="1" applyProtection="1">
      <alignment horizontal="left" vertical="center"/>
      <protection hidden="1"/>
    </xf>
    <xf numFmtId="44" fontId="27" fillId="6" borderId="0" xfId="0" applyNumberFormat="1" applyFont="1" applyFill="1" applyAlignment="1" applyProtection="1">
      <alignment horizontal="center"/>
      <protection hidden="1"/>
    </xf>
    <xf numFmtId="44" fontId="27" fillId="0" borderId="0" xfId="0" applyNumberFormat="1" applyFont="1" applyAlignment="1" applyProtection="1">
      <protection hidden="1"/>
    </xf>
    <xf numFmtId="44" fontId="27" fillId="6" borderId="0" xfId="0" applyNumberFormat="1" applyFont="1" applyFill="1" applyAlignment="1" applyProtection="1">
      <protection hidden="1"/>
    </xf>
    <xf numFmtId="0" fontId="20" fillId="2" borderId="0" xfId="0" applyFont="1" applyFill="1" applyAlignment="1" applyProtection="1">
      <protection hidden="1"/>
    </xf>
    <xf numFmtId="0" fontId="20" fillId="0" borderId="0" xfId="0" applyFont="1" applyAlignment="1" applyProtection="1">
      <protection hidden="1"/>
    </xf>
    <xf numFmtId="0" fontId="7" fillId="13" borderId="0" xfId="0" applyFont="1" applyFill="1" applyProtection="1">
      <protection hidden="1"/>
    </xf>
    <xf numFmtId="0" fontId="35" fillId="13" borderId="0" xfId="0" applyFont="1" applyFill="1" applyAlignment="1" applyProtection="1">
      <alignment vertical="center" wrapText="1"/>
      <protection hidden="1"/>
    </xf>
    <xf numFmtId="0" fontId="11" fillId="14" borderId="0" xfId="0" applyFont="1" applyFill="1" applyAlignment="1" applyProtection="1">
      <protection hidden="1"/>
    </xf>
    <xf numFmtId="0" fontId="35" fillId="13" borderId="46" xfId="0" applyFont="1" applyFill="1" applyBorder="1" applyAlignment="1" applyProtection="1">
      <alignment wrapText="1"/>
      <protection hidden="1"/>
    </xf>
    <xf numFmtId="44" fontId="10" fillId="6" borderId="0" xfId="0" applyNumberFormat="1" applyFont="1" applyFill="1" applyBorder="1" applyProtection="1">
      <protection hidden="1"/>
    </xf>
    <xf numFmtId="44" fontId="10" fillId="0" borderId="0" xfId="0" applyNumberFormat="1" applyFont="1" applyBorder="1" applyProtection="1">
      <protection hidden="1"/>
    </xf>
    <xf numFmtId="0" fontId="7" fillId="15" borderId="0" xfId="0" applyFont="1" applyFill="1" applyProtection="1">
      <protection hidden="1"/>
    </xf>
    <xf numFmtId="0" fontId="35" fillId="15" borderId="0" xfId="0" applyFont="1" applyFill="1" applyAlignment="1" applyProtection="1">
      <alignment vertical="center" wrapText="1"/>
      <protection hidden="1"/>
    </xf>
    <xf numFmtId="0" fontId="1" fillId="17" borderId="0" xfId="0" applyFont="1" applyFill="1" applyProtection="1">
      <protection hidden="1"/>
    </xf>
    <xf numFmtId="0" fontId="1" fillId="0" borderId="1" xfId="0" applyFont="1" applyFill="1" applyBorder="1" applyProtection="1">
      <protection hidden="1"/>
    </xf>
    <xf numFmtId="0" fontId="8" fillId="2" borderId="27" xfId="0" applyFont="1" applyFill="1" applyBorder="1" applyProtection="1">
      <protection hidden="1"/>
    </xf>
    <xf numFmtId="0" fontId="8" fillId="2" borderId="0" xfId="0" applyFont="1" applyFill="1" applyBorder="1" applyProtection="1">
      <protection hidden="1"/>
    </xf>
    <xf numFmtId="0" fontId="35" fillId="7" borderId="26" xfId="0" applyFont="1" applyFill="1" applyBorder="1" applyProtection="1">
      <protection hidden="1"/>
    </xf>
    <xf numFmtId="44" fontId="35" fillId="7" borderId="27" xfId="0" applyNumberFormat="1" applyFont="1" applyFill="1" applyBorder="1" applyProtection="1">
      <protection hidden="1"/>
    </xf>
    <xf numFmtId="0" fontId="35" fillId="7" borderId="43" xfId="0" applyFont="1" applyFill="1" applyBorder="1" applyProtection="1">
      <protection hidden="1"/>
    </xf>
    <xf numFmtId="44" fontId="28" fillId="7" borderId="0" xfId="0" applyNumberFormat="1" applyFont="1" applyFill="1" applyBorder="1" applyProtection="1">
      <protection hidden="1"/>
    </xf>
    <xf numFmtId="0" fontId="11" fillId="7" borderId="43" xfId="0" applyFont="1" applyFill="1" applyBorder="1" applyProtection="1">
      <protection hidden="1"/>
    </xf>
    <xf numFmtId="0" fontId="11" fillId="7" borderId="0" xfId="0" applyFont="1" applyFill="1" applyBorder="1" applyProtection="1">
      <protection hidden="1"/>
    </xf>
    <xf numFmtId="0" fontId="35" fillId="7" borderId="32" xfId="0" applyFont="1" applyFill="1" applyBorder="1" applyProtection="1">
      <protection hidden="1"/>
    </xf>
    <xf numFmtId="8" fontId="38" fillId="7" borderId="33" xfId="0" applyNumberFormat="1" applyFont="1" applyFill="1" applyBorder="1" applyProtection="1">
      <protection hidden="1"/>
    </xf>
    <xf numFmtId="44" fontId="35" fillId="7" borderId="55" xfId="0" applyNumberFormat="1" applyFont="1" applyFill="1" applyBorder="1" applyProtection="1">
      <protection hidden="1"/>
    </xf>
    <xf numFmtId="0" fontId="11" fillId="7" borderId="9" xfId="0" applyFont="1" applyFill="1" applyBorder="1" applyProtection="1">
      <protection hidden="1"/>
    </xf>
    <xf numFmtId="8" fontId="38" fillId="7" borderId="56" xfId="0" applyNumberFormat="1" applyFont="1" applyFill="1" applyBorder="1" applyProtection="1">
      <protection hidden="1"/>
    </xf>
    <xf numFmtId="44" fontId="4" fillId="6" borderId="0" xfId="0" applyNumberFormat="1" applyFont="1" applyFill="1" applyProtection="1">
      <protection hidden="1"/>
    </xf>
    <xf numFmtId="0" fontId="35" fillId="0" borderId="33" xfId="0" applyFont="1" applyFill="1" applyBorder="1" applyAlignment="1" applyProtection="1">
      <alignment wrapText="1"/>
      <protection hidden="1"/>
    </xf>
    <xf numFmtId="44" fontId="27" fillId="0" borderId="33" xfId="0" applyNumberFormat="1" applyFont="1" applyBorder="1" applyAlignment="1" applyProtection="1">
      <protection hidden="1"/>
    </xf>
    <xf numFmtId="44" fontId="27" fillId="6" borderId="33" xfId="0" applyNumberFormat="1" applyFont="1" applyFill="1" applyBorder="1" applyAlignment="1" applyProtection="1">
      <protection hidden="1"/>
    </xf>
    <xf numFmtId="0" fontId="20" fillId="2" borderId="33" xfId="0" applyFont="1" applyFill="1" applyBorder="1" applyAlignment="1" applyProtection="1">
      <protection hidden="1"/>
    </xf>
    <xf numFmtId="0" fontId="20" fillId="0" borderId="33" xfId="0" applyFont="1" applyBorder="1" applyAlignment="1" applyProtection="1">
      <protection hidden="1"/>
    </xf>
    <xf numFmtId="0" fontId="36" fillId="6" borderId="33" xfId="0" applyFont="1" applyFill="1" applyBorder="1" applyAlignment="1" applyProtection="1">
      <protection hidden="1"/>
    </xf>
    <xf numFmtId="44" fontId="36" fillId="0" borderId="33" xfId="0" applyNumberFormat="1" applyFont="1" applyBorder="1" applyAlignment="1" applyProtection="1">
      <protection hidden="1"/>
    </xf>
    <xf numFmtId="0" fontId="20" fillId="6" borderId="33" xfId="0" applyFont="1" applyFill="1" applyBorder="1" applyAlignment="1" applyProtection="1">
      <protection hidden="1"/>
    </xf>
    <xf numFmtId="44" fontId="20" fillId="6" borderId="33" xfId="0" applyNumberFormat="1" applyFont="1" applyFill="1" applyBorder="1" applyAlignment="1" applyProtection="1">
      <alignment horizontal="center"/>
      <protection hidden="1"/>
    </xf>
    <xf numFmtId="44" fontId="20" fillId="6" borderId="53" xfId="0" applyNumberFormat="1" applyFont="1" applyFill="1" applyBorder="1" applyAlignment="1" applyProtection="1">
      <alignment horizontal="center"/>
      <protection hidden="1"/>
    </xf>
    <xf numFmtId="0" fontId="1" fillId="12" borderId="7" xfId="0" applyFont="1" applyFill="1" applyBorder="1" applyAlignment="1" applyProtection="1">
      <alignment horizontal="center" wrapText="1"/>
      <protection hidden="1"/>
    </xf>
    <xf numFmtId="44" fontId="4" fillId="12" borderId="9" xfId="0" applyNumberFormat="1" applyFont="1" applyFill="1" applyBorder="1" applyAlignment="1" applyProtection="1">
      <alignment vertical="center"/>
      <protection hidden="1"/>
    </xf>
    <xf numFmtId="0" fontId="1" fillId="13" borderId="2" xfId="0" applyFont="1" applyFill="1" applyBorder="1" applyAlignment="1" applyProtection="1">
      <alignment horizontal="center" wrapText="1"/>
      <protection hidden="1"/>
    </xf>
    <xf numFmtId="0" fontId="1" fillId="13" borderId="7" xfId="0" applyFont="1" applyFill="1" applyBorder="1" applyAlignment="1" applyProtection="1">
      <alignment horizontal="center" wrapText="1"/>
      <protection hidden="1"/>
    </xf>
    <xf numFmtId="44" fontId="4" fillId="13" borderId="9" xfId="0" applyNumberFormat="1" applyFont="1" applyFill="1" applyBorder="1" applyAlignment="1" applyProtection="1">
      <alignment vertical="center"/>
      <protection hidden="1"/>
    </xf>
    <xf numFmtId="44" fontId="4" fillId="13" borderId="2" xfId="0" applyNumberFormat="1" applyFont="1" applyFill="1" applyBorder="1" applyAlignment="1" applyProtection="1">
      <alignment vertical="center"/>
      <protection hidden="1"/>
    </xf>
    <xf numFmtId="0" fontId="1" fillId="15" borderId="0" xfId="0" applyFont="1" applyFill="1" applyAlignment="1" applyProtection="1">
      <alignment horizontal="center" wrapText="1"/>
      <protection hidden="1"/>
    </xf>
    <xf numFmtId="44" fontId="4" fillId="15" borderId="0" xfId="0" applyNumberFormat="1" applyFont="1" applyFill="1" applyAlignment="1" applyProtection="1">
      <alignment vertical="center"/>
      <protection hidden="1"/>
    </xf>
    <xf numFmtId="44" fontId="1" fillId="6" borderId="19" xfId="0" applyNumberFormat="1" applyFont="1" applyFill="1" applyBorder="1" applyAlignment="1" applyProtection="1">
      <alignment horizontal="center"/>
      <protection locked="0" hidden="1"/>
    </xf>
    <xf numFmtId="44" fontId="1" fillId="6" borderId="21" xfId="0" applyNumberFormat="1" applyFont="1" applyFill="1" applyBorder="1" applyAlignment="1" applyProtection="1">
      <alignment horizontal="center"/>
      <protection locked="0" hidden="1"/>
    </xf>
    <xf numFmtId="44" fontId="1" fillId="6" borderId="23" xfId="0" applyNumberFormat="1" applyFont="1" applyFill="1" applyBorder="1" applyAlignment="1" applyProtection="1">
      <alignment horizontal="center"/>
      <protection locked="0" hidden="1"/>
    </xf>
    <xf numFmtId="44" fontId="1" fillId="0" borderId="0" xfId="0" applyNumberFormat="1" applyFont="1" applyBorder="1" applyAlignment="1" applyProtection="1">
      <alignment horizontal="center"/>
      <protection hidden="1"/>
    </xf>
    <xf numFmtId="0" fontId="1" fillId="12" borderId="0" xfId="0" applyFont="1" applyFill="1" applyBorder="1" applyAlignment="1" applyProtection="1">
      <alignment horizontal="center" wrapText="1"/>
      <protection hidden="1"/>
    </xf>
    <xf numFmtId="44" fontId="4" fillId="12" borderId="0" xfId="0" applyNumberFormat="1" applyFont="1" applyFill="1" applyBorder="1" applyAlignment="1" applyProtection="1">
      <alignment vertical="center"/>
      <protection hidden="1"/>
    </xf>
    <xf numFmtId="44" fontId="1" fillId="0" borderId="43" xfId="0" applyNumberFormat="1" applyFont="1" applyBorder="1" applyAlignment="1" applyProtection="1">
      <alignment horizontal="center"/>
      <protection hidden="1"/>
    </xf>
    <xf numFmtId="44" fontId="1" fillId="0" borderId="0" xfId="0" applyNumberFormat="1" applyFont="1" applyFill="1" applyBorder="1" applyAlignment="1" applyProtection="1">
      <alignment horizontal="center"/>
      <protection hidden="1"/>
    </xf>
    <xf numFmtId="44" fontId="1" fillId="0" borderId="44" xfId="0" applyNumberFormat="1" applyFont="1" applyBorder="1" applyAlignment="1" applyProtection="1">
      <alignment horizontal="center"/>
      <protection hidden="1"/>
    </xf>
    <xf numFmtId="0" fontId="24" fillId="2" borderId="51" xfId="0" applyFont="1" applyFill="1" applyBorder="1" applyAlignment="1" applyProtection="1">
      <alignment horizontal="center"/>
      <protection hidden="1"/>
    </xf>
    <xf numFmtId="164" fontId="3" fillId="0" borderId="51" xfId="0" applyNumberFormat="1" applyFont="1" applyBorder="1" applyAlignment="1" applyProtection="1">
      <alignment horizontal="center"/>
      <protection hidden="1"/>
    </xf>
    <xf numFmtId="0" fontId="1" fillId="12" borderId="43" xfId="0" applyFont="1" applyFill="1" applyBorder="1" applyAlignment="1" applyProtection="1">
      <alignment horizontal="center" wrapText="1"/>
      <protection hidden="1"/>
    </xf>
    <xf numFmtId="0" fontId="1" fillId="15" borderId="44" xfId="0" applyFont="1" applyFill="1" applyBorder="1" applyAlignment="1" applyProtection="1">
      <alignment horizontal="center" wrapText="1"/>
      <protection hidden="1"/>
    </xf>
    <xf numFmtId="44" fontId="4" fillId="12" borderId="43" xfId="0" applyNumberFormat="1" applyFont="1" applyFill="1" applyBorder="1" applyAlignment="1" applyProtection="1">
      <alignment vertical="center"/>
      <protection hidden="1"/>
    </xf>
    <xf numFmtId="44" fontId="4" fillId="15" borderId="44" xfId="0" applyNumberFormat="1" applyFont="1" applyFill="1" applyBorder="1" applyAlignment="1" applyProtection="1">
      <alignment vertical="center"/>
      <protection hidden="1"/>
    </xf>
    <xf numFmtId="44" fontId="1" fillId="3" borderId="59" xfId="0" applyNumberFormat="1" applyFont="1" applyFill="1" applyBorder="1" applyAlignment="1" applyProtection="1">
      <alignment horizontal="center"/>
      <protection locked="0" hidden="1"/>
    </xf>
    <xf numFmtId="44" fontId="1" fillId="3" borderId="60" xfId="0" applyNumberFormat="1" applyFont="1" applyFill="1" applyBorder="1" applyAlignment="1" applyProtection="1">
      <alignment horizontal="center"/>
      <protection locked="0" hidden="1"/>
    </xf>
    <xf numFmtId="44" fontId="1" fillId="3" borderId="61" xfId="0" applyNumberFormat="1" applyFont="1" applyFill="1" applyBorder="1" applyAlignment="1" applyProtection="1">
      <alignment horizontal="center"/>
      <protection locked="0" hidden="1"/>
    </xf>
    <xf numFmtId="44" fontId="1" fillId="3" borderId="62" xfId="0" applyNumberFormat="1" applyFont="1" applyFill="1" applyBorder="1" applyAlignment="1" applyProtection="1">
      <alignment horizontal="center"/>
      <protection locked="0" hidden="1"/>
    </xf>
    <xf numFmtId="44" fontId="1" fillId="3" borderId="63" xfId="0" applyNumberFormat="1" applyFont="1" applyFill="1" applyBorder="1" applyAlignment="1" applyProtection="1">
      <alignment horizontal="center"/>
      <protection locked="0" hidden="1"/>
    </xf>
    <xf numFmtId="44" fontId="1" fillId="3" borderId="64" xfId="0" applyNumberFormat="1" applyFont="1" applyFill="1" applyBorder="1" applyAlignment="1" applyProtection="1">
      <alignment horizontal="center"/>
      <protection locked="0" hidden="1"/>
    </xf>
    <xf numFmtId="44" fontId="1" fillId="0" borderId="66" xfId="0" applyNumberFormat="1" applyFont="1" applyFill="1" applyBorder="1" applyAlignment="1" applyProtection="1">
      <alignment horizontal="center"/>
      <protection hidden="1"/>
    </xf>
    <xf numFmtId="44" fontId="39" fillId="12" borderId="0" xfId="0" applyNumberFormat="1" applyFont="1" applyFill="1" applyAlignment="1" applyProtection="1">
      <alignment horizontal="center" wrapText="1"/>
      <protection hidden="1"/>
    </xf>
    <xf numFmtId="8" fontId="39" fillId="12" borderId="0" xfId="0" applyNumberFormat="1" applyFont="1" applyFill="1" applyAlignment="1" applyProtection="1">
      <alignment horizontal="center"/>
      <protection hidden="1"/>
    </xf>
    <xf numFmtId="44" fontId="3" fillId="13" borderId="0" xfId="0" applyNumberFormat="1" applyFont="1" applyFill="1" applyAlignment="1" applyProtection="1">
      <alignment horizontal="center" wrapText="1"/>
      <protection hidden="1"/>
    </xf>
    <xf numFmtId="8" fontId="3" fillId="13" borderId="0" xfId="0" applyNumberFormat="1" applyFont="1" applyFill="1" applyAlignment="1" applyProtection="1">
      <alignment horizontal="center"/>
      <protection hidden="1"/>
    </xf>
    <xf numFmtId="44" fontId="3" fillId="13" borderId="0" xfId="0" applyNumberFormat="1" applyFont="1" applyFill="1" applyAlignment="1" applyProtection="1">
      <alignment horizontal="center" vertical="center"/>
      <protection hidden="1"/>
    </xf>
    <xf numFmtId="44" fontId="3" fillId="13" borderId="0" xfId="0" applyNumberFormat="1" applyFont="1" applyFill="1" applyAlignment="1" applyProtection="1">
      <alignment horizontal="center" vertical="top"/>
      <protection hidden="1"/>
    </xf>
    <xf numFmtId="44" fontId="39" fillId="13" borderId="0" xfId="0" applyNumberFormat="1" applyFont="1" applyFill="1" applyAlignment="1" applyProtection="1">
      <alignment horizontal="center" wrapText="1"/>
      <protection hidden="1"/>
    </xf>
    <xf numFmtId="8" fontId="39" fillId="13" borderId="0" xfId="0" applyNumberFormat="1" applyFont="1" applyFill="1" applyAlignment="1" applyProtection="1">
      <alignment horizontal="center"/>
      <protection hidden="1"/>
    </xf>
    <xf numFmtId="44" fontId="3" fillId="15" borderId="0" xfId="0" applyNumberFormat="1" applyFont="1" applyFill="1" applyAlignment="1" applyProtection="1">
      <alignment horizontal="center" wrapText="1"/>
      <protection hidden="1"/>
    </xf>
    <xf numFmtId="8" fontId="3" fillId="15" borderId="0" xfId="0" applyNumberFormat="1" applyFont="1" applyFill="1" applyAlignment="1" applyProtection="1">
      <alignment horizontal="center"/>
      <protection hidden="1"/>
    </xf>
    <xf numFmtId="0" fontId="24" fillId="2" borderId="14" xfId="0" applyFont="1" applyFill="1" applyBorder="1" applyAlignment="1" applyProtection="1">
      <alignment horizontal="center" wrapText="1"/>
      <protection hidden="1"/>
    </xf>
    <xf numFmtId="8" fontId="24" fillId="2" borderId="18" xfId="0" applyNumberFormat="1" applyFont="1" applyFill="1" applyBorder="1" applyAlignment="1" applyProtection="1">
      <alignment horizontal="center"/>
      <protection hidden="1"/>
    </xf>
    <xf numFmtId="0" fontId="1" fillId="4" borderId="67" xfId="0" applyFont="1" applyFill="1" applyBorder="1" applyAlignment="1" applyProtection="1">
      <alignment horizontal="center"/>
      <protection locked="0" hidden="1"/>
    </xf>
    <xf numFmtId="0" fontId="1" fillId="4" borderId="19" xfId="0" applyFont="1" applyFill="1" applyBorder="1" applyAlignment="1" applyProtection="1">
      <alignment horizontal="center"/>
      <protection locked="0" hidden="1"/>
    </xf>
    <xf numFmtId="0" fontId="1" fillId="4" borderId="21" xfId="0" applyFont="1" applyFill="1" applyBorder="1" applyAlignment="1" applyProtection="1">
      <alignment horizontal="center"/>
      <protection locked="0" hidden="1"/>
    </xf>
    <xf numFmtId="0" fontId="1" fillId="4" borderId="23" xfId="0" applyFont="1" applyFill="1" applyBorder="1" applyAlignment="1" applyProtection="1">
      <alignment horizontal="center"/>
      <protection locked="0" hidden="1"/>
    </xf>
    <xf numFmtId="44" fontId="1" fillId="6" borderId="16" xfId="0" applyNumberFormat="1" applyFont="1" applyFill="1" applyBorder="1" applyProtection="1">
      <protection locked="0" hidden="1"/>
    </xf>
    <xf numFmtId="44" fontId="1" fillId="6" borderId="17" xfId="0" applyNumberFormat="1" applyFont="1" applyFill="1" applyBorder="1" applyProtection="1">
      <protection locked="0" hidden="1"/>
    </xf>
    <xf numFmtId="44" fontId="1" fillId="6" borderId="66" xfId="0" applyNumberFormat="1" applyFont="1" applyFill="1" applyBorder="1" applyAlignment="1" applyProtection="1">
      <alignment horizontal="center"/>
      <protection locked="0" hidden="1"/>
    </xf>
    <xf numFmtId="44" fontId="1" fillId="6" borderId="70" xfId="0" applyNumberFormat="1" applyFont="1" applyFill="1" applyBorder="1" applyAlignment="1" applyProtection="1">
      <alignment horizontal="center"/>
      <protection locked="0" hidden="1"/>
    </xf>
    <xf numFmtId="44" fontId="1" fillId="6" borderId="70" xfId="0" applyNumberFormat="1" applyFont="1" applyFill="1" applyBorder="1" applyProtection="1">
      <protection locked="0" hidden="1"/>
    </xf>
    <xf numFmtId="44" fontId="1" fillId="6" borderId="71" xfId="0" applyNumberFormat="1" applyFont="1" applyFill="1" applyBorder="1" applyProtection="1">
      <protection locked="0" hidden="1"/>
    </xf>
    <xf numFmtId="44" fontId="1" fillId="6" borderId="15" xfId="0" applyNumberFormat="1" applyFont="1" applyFill="1" applyBorder="1" applyProtection="1">
      <protection locked="0" hidden="1"/>
    </xf>
    <xf numFmtId="44" fontId="1" fillId="6" borderId="72" xfId="0" applyNumberFormat="1" applyFont="1" applyFill="1" applyBorder="1" applyAlignment="1" applyProtection="1">
      <alignment horizontal="center"/>
      <protection locked="0" hidden="1"/>
    </xf>
    <xf numFmtId="44" fontId="1" fillId="6" borderId="73" xfId="0" applyNumberFormat="1" applyFont="1" applyFill="1" applyBorder="1" applyAlignment="1" applyProtection="1">
      <alignment horizontal="center"/>
      <protection locked="0" hidden="1"/>
    </xf>
    <xf numFmtId="44" fontId="1" fillId="6" borderId="73" xfId="0" applyNumberFormat="1" applyFont="1" applyFill="1" applyBorder="1" applyProtection="1">
      <protection locked="0" hidden="1"/>
    </xf>
    <xf numFmtId="44" fontId="1" fillId="6" borderId="74" xfId="0" applyNumberFormat="1" applyFont="1" applyFill="1" applyBorder="1" applyProtection="1">
      <protection locked="0" hidden="1"/>
    </xf>
    <xf numFmtId="0" fontId="1" fillId="0" borderId="2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44" fontId="1" fillId="0" borderId="2" xfId="0" applyNumberFormat="1" applyFont="1" applyFill="1" applyBorder="1" applyAlignment="1" applyProtection="1">
      <alignment horizontal="center"/>
      <protection hidden="1"/>
    </xf>
    <xf numFmtId="9" fontId="1" fillId="0" borderId="0" xfId="0" applyNumberFormat="1" applyFont="1" applyFill="1" applyBorder="1" applyAlignment="1" applyProtection="1">
      <alignment horizontal="center"/>
      <protection hidden="1"/>
    </xf>
    <xf numFmtId="9" fontId="1" fillId="0" borderId="2" xfId="0" applyNumberFormat="1" applyFont="1" applyFill="1" applyBorder="1" applyAlignment="1" applyProtection="1">
      <alignment horizontal="center"/>
      <protection hidden="1"/>
    </xf>
    <xf numFmtId="9" fontId="1" fillId="0" borderId="44" xfId="0" applyNumberFormat="1" applyFont="1" applyFill="1" applyBorder="1" applyAlignment="1" applyProtection="1">
      <alignment horizontal="center"/>
      <protection hidden="1"/>
    </xf>
    <xf numFmtId="164" fontId="36" fillId="12" borderId="9" xfId="0" applyNumberFormat="1" applyFont="1" applyFill="1" applyBorder="1" applyAlignment="1" applyProtection="1">
      <alignment horizontal="center" vertical="top"/>
      <protection hidden="1"/>
    </xf>
    <xf numFmtId="164" fontId="36" fillId="13" borderId="9" xfId="0" applyNumberFormat="1" applyFont="1" applyFill="1" applyBorder="1" applyAlignment="1" applyProtection="1">
      <alignment horizontal="center" vertical="top"/>
      <protection hidden="1"/>
    </xf>
    <xf numFmtId="164" fontId="36" fillId="15" borderId="9" xfId="0" applyNumberFormat="1" applyFont="1" applyFill="1" applyBorder="1" applyAlignment="1" applyProtection="1">
      <alignment horizontal="center" vertical="top"/>
      <protection hidden="1"/>
    </xf>
    <xf numFmtId="164" fontId="36" fillId="15" borderId="65" xfId="0" applyNumberFormat="1" applyFont="1" applyFill="1" applyBorder="1" applyAlignment="1" applyProtection="1">
      <alignment horizontal="center" vertical="top"/>
      <protection hidden="1"/>
    </xf>
    <xf numFmtId="44" fontId="20" fillId="0" borderId="0" xfId="0" applyNumberFormat="1" applyFont="1" applyAlignment="1" applyProtection="1">
      <protection hidden="1"/>
    </xf>
    <xf numFmtId="44" fontId="20" fillId="6" borderId="0" xfId="0" applyNumberFormat="1" applyFont="1" applyFill="1" applyAlignment="1" applyProtection="1">
      <protection hidden="1"/>
    </xf>
    <xf numFmtId="44" fontId="32" fillId="6" borderId="0" xfId="0" applyNumberFormat="1" applyFont="1" applyFill="1" applyAlignment="1" applyProtection="1">
      <protection hidden="1"/>
    </xf>
    <xf numFmtId="0" fontId="30" fillId="5" borderId="0" xfId="0" applyFont="1" applyFill="1" applyBorder="1" applyAlignment="1" applyProtection="1">
      <alignment horizontal="center"/>
      <protection hidden="1"/>
    </xf>
    <xf numFmtId="0" fontId="41" fillId="5" borderId="0" xfId="0" applyFont="1" applyFill="1" applyBorder="1" applyAlignment="1" applyProtection="1">
      <alignment horizontal="center"/>
      <protection hidden="1"/>
    </xf>
    <xf numFmtId="0" fontId="39" fillId="5" borderId="0" xfId="0" applyFont="1" applyFill="1" applyBorder="1" applyAlignment="1" applyProtection="1">
      <alignment horizontal="center"/>
      <protection hidden="1"/>
    </xf>
    <xf numFmtId="0" fontId="30" fillId="5" borderId="0" xfId="0" applyFont="1" applyFill="1" applyBorder="1" applyAlignment="1" applyProtection="1"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4" fillId="2" borderId="4" xfId="0" applyFont="1" applyFill="1" applyBorder="1" applyAlignment="1" applyProtection="1">
      <alignment horizontal="center" vertical="center" wrapText="1"/>
      <protection hidden="1"/>
    </xf>
    <xf numFmtId="0" fontId="24" fillId="2" borderId="13" xfId="0" applyFont="1" applyFill="1" applyBorder="1" applyAlignment="1" applyProtection="1">
      <alignment horizontal="center" vertical="center" wrapText="1"/>
      <protection hidden="1"/>
    </xf>
    <xf numFmtId="0" fontId="1" fillId="6" borderId="0" xfId="0" applyNumberFormat="1" applyFont="1" applyFill="1" applyProtection="1">
      <protection hidden="1"/>
    </xf>
    <xf numFmtId="164" fontId="1" fillId="0" borderId="0" xfId="0" applyNumberFormat="1" applyFont="1" applyFill="1" applyBorder="1" applyAlignment="1" applyProtection="1">
      <alignment horizontal="center"/>
      <protection hidden="1"/>
    </xf>
    <xf numFmtId="0" fontId="35" fillId="15" borderId="46" xfId="0" applyFont="1" applyFill="1" applyBorder="1" applyAlignment="1" applyProtection="1">
      <alignment vertical="center" wrapText="1"/>
      <protection hidden="1"/>
    </xf>
    <xf numFmtId="0" fontId="14" fillId="7" borderId="0" xfId="0" applyFont="1" applyFill="1" applyBorder="1" applyAlignment="1" applyProtection="1">
      <alignment wrapText="1"/>
      <protection hidden="1"/>
    </xf>
    <xf numFmtId="44" fontId="28" fillId="0" borderId="0" xfId="0" applyNumberFormat="1" applyFont="1" applyAlignment="1" applyProtection="1">
      <protection hidden="1"/>
    </xf>
    <xf numFmtId="44" fontId="28" fillId="6" borderId="0" xfId="0" applyNumberFormat="1" applyFont="1" applyFill="1" applyAlignment="1" applyProtection="1">
      <protection hidden="1"/>
    </xf>
    <xf numFmtId="0" fontId="28" fillId="2" borderId="0" xfId="0" applyFont="1" applyFill="1" applyAlignment="1" applyProtection="1">
      <protection hidden="1"/>
    </xf>
    <xf numFmtId="44" fontId="28" fillId="6" borderId="0" xfId="0" applyNumberFormat="1" applyFont="1" applyFill="1" applyAlignment="1" applyProtection="1">
      <alignment horizontal="center"/>
      <protection hidden="1"/>
    </xf>
    <xf numFmtId="44" fontId="28" fillId="6" borderId="2" xfId="0" applyNumberFormat="1" applyFont="1" applyFill="1" applyBorder="1" applyAlignment="1" applyProtection="1">
      <alignment horizontal="center"/>
      <protection hidden="1"/>
    </xf>
    <xf numFmtId="44" fontId="1" fillId="0" borderId="10" xfId="0" applyNumberFormat="1" applyFont="1" applyFill="1" applyBorder="1" applyAlignment="1" applyProtection="1">
      <alignment horizontal="center"/>
      <protection hidden="1"/>
    </xf>
    <xf numFmtId="44" fontId="1" fillId="0" borderId="4" xfId="0" applyNumberFormat="1" applyFont="1" applyFill="1" applyBorder="1" applyProtection="1">
      <protection hidden="1"/>
    </xf>
    <xf numFmtId="44" fontId="1" fillId="0" borderId="0" xfId="0" applyNumberFormat="1" applyFont="1" applyFill="1" applyBorder="1" applyProtection="1">
      <protection hidden="1"/>
    </xf>
    <xf numFmtId="44" fontId="1" fillId="0" borderId="14" xfId="0" applyNumberFormat="1" applyFont="1" applyFill="1" applyBorder="1" applyProtection="1">
      <protection hidden="1"/>
    </xf>
    <xf numFmtId="44" fontId="1" fillId="0" borderId="13" xfId="0" applyNumberFormat="1" applyFont="1" applyFill="1" applyBorder="1" applyProtection="1">
      <protection hidden="1"/>
    </xf>
    <xf numFmtId="0" fontId="3" fillId="0" borderId="5" xfId="0" applyFont="1" applyBorder="1" applyProtection="1">
      <protection hidden="1"/>
    </xf>
    <xf numFmtId="44" fontId="1" fillId="0" borderId="6" xfId="0" applyNumberFormat="1" applyFont="1" applyFill="1" applyBorder="1" applyProtection="1">
      <protection hidden="1"/>
    </xf>
    <xf numFmtId="44" fontId="1" fillId="0" borderId="5" xfId="0" applyNumberFormat="1" applyFont="1" applyFill="1" applyBorder="1" applyProtection="1">
      <protection hidden="1"/>
    </xf>
    <xf numFmtId="0" fontId="3" fillId="0" borderId="0" xfId="0" applyFont="1" applyBorder="1" applyProtection="1">
      <protection hidden="1"/>
    </xf>
    <xf numFmtId="0" fontId="24" fillId="2" borderId="0" xfId="0" applyFont="1" applyFill="1" applyBorder="1" applyAlignment="1" applyProtection="1">
      <alignment horizontal="center"/>
      <protection hidden="1"/>
    </xf>
    <xf numFmtId="49" fontId="8" fillId="0" borderId="38" xfId="0" applyNumberFormat="1" applyFont="1" applyFill="1" applyBorder="1" applyAlignment="1" applyProtection="1">
      <alignment horizontal="center"/>
      <protection hidden="1"/>
    </xf>
    <xf numFmtId="44" fontId="1" fillId="0" borderId="33" xfId="0" applyNumberFormat="1" applyFont="1" applyFill="1" applyBorder="1" applyProtection="1">
      <protection hidden="1"/>
    </xf>
    <xf numFmtId="0" fontId="1" fillId="0" borderId="33" xfId="0" applyFont="1" applyBorder="1" applyAlignment="1" applyProtection="1">
      <protection hidden="1"/>
    </xf>
    <xf numFmtId="44" fontId="1" fillId="0" borderId="38" xfId="0" applyNumberFormat="1" applyFont="1" applyFill="1" applyBorder="1" applyProtection="1">
      <protection hidden="1"/>
    </xf>
    <xf numFmtId="44" fontId="1" fillId="0" borderId="38" xfId="0" applyNumberFormat="1" applyFont="1" applyFill="1" applyBorder="1" applyAlignment="1" applyProtection="1">
      <protection hidden="1"/>
    </xf>
    <xf numFmtId="0" fontId="1" fillId="2" borderId="38" xfId="0" applyFont="1" applyFill="1" applyBorder="1" applyProtection="1">
      <protection hidden="1"/>
    </xf>
    <xf numFmtId="0" fontId="1" fillId="0" borderId="4" xfId="0" applyFont="1" applyBorder="1" applyAlignment="1" applyProtection="1">
      <protection hidden="1"/>
    </xf>
    <xf numFmtId="0" fontId="1" fillId="0" borderId="75" xfId="0" applyFont="1" applyBorder="1" applyProtection="1">
      <protection hidden="1"/>
    </xf>
    <xf numFmtId="0" fontId="1" fillId="6" borderId="4" xfId="0" applyFont="1" applyFill="1" applyBorder="1" applyProtection="1">
      <protection hidden="1"/>
    </xf>
    <xf numFmtId="0" fontId="1" fillId="6" borderId="0" xfId="0" applyFont="1" applyFill="1" applyBorder="1" applyProtection="1">
      <protection hidden="1"/>
    </xf>
    <xf numFmtId="0" fontId="1" fillId="6" borderId="6" xfId="0" applyFont="1" applyFill="1" applyBorder="1" applyAlignment="1" applyProtection="1">
      <alignment horizontal="center" wrapText="1"/>
      <protection hidden="1"/>
    </xf>
    <xf numFmtId="0" fontId="1" fillId="6" borderId="5" xfId="0" applyFont="1" applyFill="1" applyBorder="1" applyProtection="1">
      <protection hidden="1"/>
    </xf>
    <xf numFmtId="44" fontId="1" fillId="6" borderId="38" xfId="0" applyNumberFormat="1" applyFont="1" applyFill="1" applyBorder="1" applyAlignment="1" applyProtection="1">
      <protection hidden="1"/>
    </xf>
    <xf numFmtId="0" fontId="1" fillId="6" borderId="4" xfId="0" applyFont="1" applyFill="1" applyBorder="1" applyAlignment="1" applyProtection="1">
      <protection hidden="1"/>
    </xf>
    <xf numFmtId="0" fontId="1" fillId="6" borderId="33" xfId="0" applyFont="1" applyFill="1" applyBorder="1" applyAlignment="1" applyProtection="1">
      <protection hidden="1"/>
    </xf>
    <xf numFmtId="44" fontId="1" fillId="6" borderId="33" xfId="0" applyNumberFormat="1" applyFont="1" applyFill="1" applyBorder="1" applyProtection="1">
      <protection hidden="1"/>
    </xf>
    <xf numFmtId="44" fontId="1" fillId="6" borderId="38" xfId="0" applyNumberFormat="1" applyFont="1" applyFill="1" applyBorder="1" applyProtection="1">
      <protection hidden="1"/>
    </xf>
    <xf numFmtId="44" fontId="1" fillId="6" borderId="36" xfId="0" applyNumberFormat="1" applyFont="1" applyFill="1" applyBorder="1" applyProtection="1">
      <protection hidden="1"/>
    </xf>
    <xf numFmtId="0" fontId="1" fillId="6" borderId="10" xfId="0" applyFont="1" applyFill="1" applyBorder="1" applyAlignment="1" applyProtection="1">
      <alignment horizontal="center" wrapText="1"/>
      <protection hidden="1"/>
    </xf>
    <xf numFmtId="49" fontId="8" fillId="6" borderId="38" xfId="0" applyNumberFormat="1" applyFont="1" applyFill="1" applyBorder="1" applyAlignment="1" applyProtection="1">
      <alignment horizontal="center"/>
      <protection hidden="1"/>
    </xf>
    <xf numFmtId="49" fontId="8" fillId="6" borderId="33" xfId="0" applyNumberFormat="1" applyFont="1" applyFill="1" applyBorder="1" applyAlignment="1" applyProtection="1">
      <alignment horizontal="center"/>
      <protection hidden="1"/>
    </xf>
    <xf numFmtId="44" fontId="1" fillId="6" borderId="40" xfId="0" applyNumberFormat="1" applyFont="1" applyFill="1" applyBorder="1" applyProtection="1">
      <protection hidden="1"/>
    </xf>
    <xf numFmtId="44" fontId="1" fillId="6" borderId="37" xfId="0" applyNumberFormat="1" applyFont="1" applyFill="1" applyBorder="1" applyProtection="1">
      <protection hidden="1"/>
    </xf>
    <xf numFmtId="44" fontId="3" fillId="6" borderId="39" xfId="0" applyNumberFormat="1" applyFont="1" applyFill="1" applyBorder="1" applyProtection="1">
      <protection hidden="1"/>
    </xf>
    <xf numFmtId="0" fontId="1" fillId="0" borderId="16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44" fontId="1" fillId="0" borderId="0" xfId="0" applyNumberFormat="1" applyFont="1" applyBorder="1" applyAlignment="1" applyProtection="1">
      <alignment horizontal="center"/>
      <protection hidden="1"/>
    </xf>
    <xf numFmtId="0" fontId="1" fillId="0" borderId="0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1" fillId="0" borderId="0" xfId="0" applyFont="1" applyFill="1" applyAlignment="1" applyProtection="1">
      <alignment horizontal="left"/>
      <protection hidden="1"/>
    </xf>
    <xf numFmtId="44" fontId="35" fillId="7" borderId="54" xfId="0" applyNumberFormat="1" applyFont="1" applyFill="1" applyBorder="1" applyProtection="1">
      <protection hidden="1"/>
    </xf>
    <xf numFmtId="44" fontId="35" fillId="7" borderId="76" xfId="0" applyNumberFormat="1" applyFont="1" applyFill="1" applyBorder="1" applyProtection="1">
      <protection hidden="1"/>
    </xf>
    <xf numFmtId="44" fontId="28" fillId="7" borderId="18" xfId="0" applyNumberFormat="1" applyFont="1" applyFill="1" applyBorder="1" applyProtection="1">
      <protection hidden="1"/>
    </xf>
    <xf numFmtId="44" fontId="28" fillId="7" borderId="2" xfId="0" applyNumberFormat="1" applyFont="1" applyFill="1" applyBorder="1" applyProtection="1">
      <protection hidden="1"/>
    </xf>
    <xf numFmtId="0" fontId="1" fillId="7" borderId="18" xfId="0" applyFont="1" applyFill="1" applyBorder="1" applyProtection="1">
      <protection hidden="1"/>
    </xf>
    <xf numFmtId="0" fontId="1" fillId="7" borderId="9" xfId="0" applyFont="1" applyFill="1" applyBorder="1" applyProtection="1">
      <protection hidden="1"/>
    </xf>
    <xf numFmtId="0" fontId="1" fillId="7" borderId="2" xfId="0" applyFont="1" applyFill="1" applyBorder="1" applyProtection="1">
      <protection hidden="1"/>
    </xf>
    <xf numFmtId="8" fontId="38" fillId="7" borderId="75" xfId="0" applyNumberFormat="1" applyFont="1" applyFill="1" applyBorder="1" applyProtection="1">
      <protection hidden="1"/>
    </xf>
    <xf numFmtId="8" fontId="38" fillId="7" borderId="53" xfId="0" applyNumberFormat="1" applyFont="1" applyFill="1" applyBorder="1" applyProtection="1">
      <protection hidden="1"/>
    </xf>
    <xf numFmtId="8" fontId="35" fillId="7" borderId="54" xfId="0" applyNumberFormat="1" applyFont="1" applyFill="1" applyBorder="1" applyProtection="1">
      <protection hidden="1"/>
    </xf>
    <xf numFmtId="8" fontId="35" fillId="7" borderId="55" xfId="0" applyNumberFormat="1" applyFont="1" applyFill="1" applyBorder="1" applyProtection="1">
      <protection hidden="1"/>
    </xf>
    <xf numFmtId="8" fontId="35" fillId="7" borderId="76" xfId="0" applyNumberFormat="1" applyFont="1" applyFill="1" applyBorder="1" applyProtection="1">
      <protection hidden="1"/>
    </xf>
    <xf numFmtId="8" fontId="28" fillId="7" borderId="18" xfId="0" applyNumberFormat="1" applyFont="1" applyFill="1" applyBorder="1" applyProtection="1">
      <protection hidden="1"/>
    </xf>
    <xf numFmtId="8" fontId="28" fillId="7" borderId="9" xfId="0" applyNumberFormat="1" applyFont="1" applyFill="1" applyBorder="1" applyProtection="1">
      <protection hidden="1"/>
    </xf>
    <xf numFmtId="8" fontId="1" fillId="7" borderId="18" xfId="0" applyNumberFormat="1" applyFont="1" applyFill="1" applyBorder="1" applyProtection="1">
      <protection hidden="1"/>
    </xf>
    <xf numFmtId="8" fontId="1" fillId="7" borderId="9" xfId="0" applyNumberFormat="1" applyFont="1" applyFill="1" applyBorder="1" applyProtection="1">
      <protection hidden="1"/>
    </xf>
    <xf numFmtId="8" fontId="1" fillId="7" borderId="2" xfId="0" applyNumberFormat="1" applyFont="1" applyFill="1" applyBorder="1" applyProtection="1">
      <protection hidden="1"/>
    </xf>
    <xf numFmtId="8" fontId="28" fillId="7" borderId="2" xfId="0" applyNumberFormat="1" applyFont="1" applyFill="1" applyBorder="1" applyProtection="1">
      <protection hidden="1"/>
    </xf>
    <xf numFmtId="8" fontId="1" fillId="7" borderId="18" xfId="0" applyNumberFormat="1" applyFont="1" applyFill="1" applyBorder="1" applyAlignment="1" applyProtection="1">
      <alignment horizontal="center"/>
      <protection hidden="1"/>
    </xf>
    <xf numFmtId="8" fontId="1" fillId="7" borderId="9" xfId="0" applyNumberFormat="1" applyFont="1" applyFill="1" applyBorder="1" applyAlignment="1" applyProtection="1">
      <alignment horizontal="center"/>
      <protection hidden="1"/>
    </xf>
    <xf numFmtId="8" fontId="1" fillId="7" borderId="2" xfId="0" applyNumberFormat="1" applyFont="1" applyFill="1" applyBorder="1" applyAlignment="1" applyProtection="1">
      <alignment horizontal="center"/>
      <protection hidden="1"/>
    </xf>
    <xf numFmtId="0" fontId="1" fillId="4" borderId="68" xfId="0" applyFont="1" applyFill="1" applyBorder="1" applyAlignment="1" applyProtection="1">
      <alignment horizontal="left" wrapText="1"/>
      <protection locked="0" hidden="1"/>
    </xf>
    <xf numFmtId="44" fontId="1" fillId="3" borderId="17" xfId="0" applyNumberFormat="1" applyFont="1" applyFill="1" applyBorder="1" applyAlignment="1" applyProtection="1">
      <alignment horizontal="center"/>
      <protection locked="0" hidden="1"/>
    </xf>
    <xf numFmtId="0" fontId="1" fillId="4" borderId="67" xfId="0" applyFont="1" applyFill="1" applyBorder="1" applyAlignment="1" applyProtection="1">
      <alignment horizontal="left"/>
      <protection locked="0" hidden="1"/>
    </xf>
    <xf numFmtId="0" fontId="1" fillId="5" borderId="43" xfId="0" applyFont="1" applyFill="1" applyBorder="1" applyAlignment="1" applyProtection="1">
      <protection hidden="1"/>
    </xf>
    <xf numFmtId="0" fontId="1" fillId="5" borderId="0" xfId="0" applyFont="1" applyFill="1" applyBorder="1" applyAlignment="1" applyProtection="1">
      <protection hidden="1"/>
    </xf>
    <xf numFmtId="0" fontId="1" fillId="5" borderId="0" xfId="0" applyFont="1" applyFill="1" applyBorder="1" applyProtection="1">
      <protection hidden="1"/>
    </xf>
    <xf numFmtId="0" fontId="1" fillId="5" borderId="44" xfId="0" applyFont="1" applyFill="1" applyBorder="1" applyProtection="1">
      <protection hidden="1"/>
    </xf>
    <xf numFmtId="0" fontId="1" fillId="5" borderId="43" xfId="0" applyFont="1" applyFill="1" applyBorder="1" applyProtection="1">
      <protection hidden="1"/>
    </xf>
    <xf numFmtId="0" fontId="1" fillId="5" borderId="0" xfId="0" applyFont="1" applyFill="1" applyBorder="1" applyAlignment="1" applyProtection="1">
      <alignment horizontal="center"/>
      <protection hidden="1"/>
    </xf>
    <xf numFmtId="0" fontId="1" fillId="5" borderId="2" xfId="0" applyFont="1" applyFill="1" applyBorder="1" applyProtection="1">
      <protection hidden="1"/>
    </xf>
    <xf numFmtId="37" fontId="1" fillId="5" borderId="0" xfId="0" applyNumberFormat="1" applyFont="1" applyFill="1" applyBorder="1" applyAlignment="1" applyProtection="1">
      <alignment horizontal="center"/>
      <protection hidden="1"/>
    </xf>
    <xf numFmtId="0" fontId="1" fillId="5" borderId="0" xfId="0" applyFont="1" applyFill="1" applyBorder="1" applyAlignment="1" applyProtection="1">
      <alignment horizontal="left"/>
      <protection hidden="1"/>
    </xf>
    <xf numFmtId="0" fontId="23" fillId="2" borderId="0" xfId="0" applyFont="1" applyFill="1" applyBorder="1" applyAlignment="1" applyProtection="1">
      <alignment horizontal="center"/>
      <protection hidden="1"/>
    </xf>
    <xf numFmtId="0" fontId="23" fillId="2" borderId="2" xfId="0" applyFont="1" applyFill="1" applyBorder="1" applyAlignment="1" applyProtection="1">
      <alignment horizontal="center"/>
      <protection hidden="1"/>
    </xf>
    <xf numFmtId="0" fontId="20" fillId="5" borderId="0" xfId="0" applyFont="1" applyFill="1" applyBorder="1" applyAlignment="1" applyProtection="1">
      <alignment horizontal="center"/>
      <protection hidden="1"/>
    </xf>
    <xf numFmtId="0" fontId="20" fillId="5" borderId="2" xfId="0" applyFont="1" applyFill="1" applyBorder="1" applyAlignment="1" applyProtection="1">
      <alignment horizontal="center"/>
      <protection hidden="1"/>
    </xf>
    <xf numFmtId="0" fontId="1" fillId="5" borderId="44" xfId="0" applyFont="1" applyFill="1" applyBorder="1" applyAlignment="1" applyProtection="1">
      <protection hidden="1"/>
    </xf>
    <xf numFmtId="37" fontId="1" fillId="5" borderId="1" xfId="0" applyNumberFormat="1" applyFont="1" applyFill="1" applyBorder="1" applyAlignment="1" applyProtection="1">
      <alignment horizontal="center"/>
      <protection hidden="1"/>
    </xf>
    <xf numFmtId="37" fontId="1" fillId="5" borderId="3" xfId="0" applyNumberFormat="1" applyFont="1" applyFill="1" applyBorder="1" applyAlignment="1" applyProtection="1">
      <alignment horizontal="center"/>
      <protection hidden="1"/>
    </xf>
    <xf numFmtId="0" fontId="1" fillId="5" borderId="1" xfId="0" applyFont="1" applyFill="1" applyBorder="1" applyProtection="1">
      <protection hidden="1"/>
    </xf>
    <xf numFmtId="0" fontId="1" fillId="5" borderId="1" xfId="0" applyFont="1" applyFill="1" applyBorder="1" applyAlignment="1" applyProtection="1">
      <protection hidden="1"/>
    </xf>
    <xf numFmtId="0" fontId="1" fillId="5" borderId="1" xfId="0" applyNumberFormat="1" applyFont="1" applyFill="1" applyBorder="1" applyAlignment="1" applyProtection="1">
      <alignment horizontal="center"/>
      <protection hidden="1"/>
    </xf>
    <xf numFmtId="44" fontId="1" fillId="5" borderId="3" xfId="0" applyNumberFormat="1" applyFont="1" applyFill="1" applyBorder="1" applyAlignment="1" applyProtection="1">
      <protection hidden="1"/>
    </xf>
    <xf numFmtId="37" fontId="1" fillId="5" borderId="10" xfId="0" applyNumberFormat="1" applyFont="1" applyFill="1" applyBorder="1" applyAlignment="1" applyProtection="1">
      <alignment horizontal="center"/>
      <protection hidden="1"/>
    </xf>
    <xf numFmtId="37" fontId="1" fillId="5" borderId="6" xfId="0" applyNumberFormat="1" applyFont="1" applyFill="1" applyBorder="1" applyAlignment="1" applyProtection="1">
      <alignment horizontal="center"/>
      <protection hidden="1"/>
    </xf>
    <xf numFmtId="8" fontId="1" fillId="5" borderId="0" xfId="0" applyNumberFormat="1" applyFont="1" applyFill="1" applyBorder="1" applyProtection="1">
      <protection hidden="1"/>
    </xf>
    <xf numFmtId="0" fontId="1" fillId="5" borderId="0" xfId="0" applyNumberFormat="1" applyFont="1" applyFill="1" applyBorder="1" applyAlignment="1" applyProtection="1">
      <alignment horizontal="center"/>
      <protection hidden="1"/>
    </xf>
    <xf numFmtId="44" fontId="1" fillId="5" borderId="2" xfId="0" applyNumberFormat="1" applyFont="1" applyFill="1" applyBorder="1" applyProtection="1">
      <protection hidden="1"/>
    </xf>
    <xf numFmtId="0" fontId="1" fillId="5" borderId="32" xfId="0" applyFont="1" applyFill="1" applyBorder="1" applyProtection="1">
      <protection hidden="1"/>
    </xf>
    <xf numFmtId="0" fontId="1" fillId="5" borderId="33" xfId="0" applyFont="1" applyFill="1" applyBorder="1" applyProtection="1">
      <protection hidden="1"/>
    </xf>
    <xf numFmtId="37" fontId="1" fillId="5" borderId="33" xfId="0" applyNumberFormat="1" applyFont="1" applyFill="1" applyBorder="1" applyAlignment="1" applyProtection="1">
      <alignment horizontal="center"/>
      <protection hidden="1"/>
    </xf>
    <xf numFmtId="0" fontId="1" fillId="5" borderId="41" xfId="0" applyFont="1" applyFill="1" applyBorder="1" applyProtection="1">
      <protection hidden="1"/>
    </xf>
    <xf numFmtId="0" fontId="1" fillId="5" borderId="0" xfId="0" applyFont="1" applyFill="1" applyProtection="1">
      <protection hidden="1"/>
    </xf>
    <xf numFmtId="37" fontId="1" fillId="5" borderId="0" xfId="0" applyNumberFormat="1" applyFont="1" applyFill="1" applyAlignment="1" applyProtection="1">
      <alignment horizontal="center"/>
      <protection hidden="1"/>
    </xf>
    <xf numFmtId="0" fontId="1" fillId="12" borderId="26" xfId="0" applyFont="1" applyFill="1" applyBorder="1" applyProtection="1">
      <protection hidden="1"/>
    </xf>
    <xf numFmtId="0" fontId="1" fillId="12" borderId="27" xfId="0" applyFont="1" applyFill="1" applyBorder="1" applyProtection="1">
      <protection hidden="1"/>
    </xf>
    <xf numFmtId="0" fontId="1" fillId="12" borderId="42" xfId="0" applyFont="1" applyFill="1" applyBorder="1" applyProtection="1">
      <protection hidden="1"/>
    </xf>
    <xf numFmtId="0" fontId="1" fillId="12" borderId="43" xfId="0" applyFont="1" applyFill="1" applyBorder="1" applyProtection="1">
      <protection hidden="1"/>
    </xf>
    <xf numFmtId="0" fontId="1" fillId="12" borderId="0" xfId="0" applyFont="1" applyFill="1" applyBorder="1" applyProtection="1">
      <protection hidden="1"/>
    </xf>
    <xf numFmtId="0" fontId="1" fillId="12" borderId="44" xfId="0" applyFont="1" applyFill="1" applyBorder="1" applyProtection="1">
      <protection hidden="1"/>
    </xf>
    <xf numFmtId="0" fontId="1" fillId="12" borderId="0" xfId="0" applyFont="1" applyFill="1" applyBorder="1" applyAlignment="1" applyProtection="1">
      <protection hidden="1"/>
    </xf>
    <xf numFmtId="44" fontId="1" fillId="12" borderId="0" xfId="0" applyNumberFormat="1" applyFont="1" applyFill="1" applyBorder="1" applyProtection="1">
      <protection hidden="1"/>
    </xf>
    <xf numFmtId="44" fontId="1" fillId="12" borderId="2" xfId="0" applyNumberFormat="1" applyFont="1" applyFill="1" applyBorder="1" applyProtection="1">
      <protection hidden="1"/>
    </xf>
    <xf numFmtId="37" fontId="1" fillId="12" borderId="0" xfId="0" applyNumberFormat="1" applyFont="1" applyFill="1" applyBorder="1" applyProtection="1">
      <protection hidden="1"/>
    </xf>
    <xf numFmtId="0" fontId="1" fillId="12" borderId="2" xfId="0" applyFont="1" applyFill="1" applyBorder="1" applyProtection="1">
      <protection hidden="1"/>
    </xf>
    <xf numFmtId="44" fontId="33" fillId="12" borderId="0" xfId="0" applyNumberFormat="1" applyFont="1" applyFill="1" applyBorder="1" applyProtection="1">
      <protection hidden="1"/>
    </xf>
    <xf numFmtId="44" fontId="33" fillId="12" borderId="2" xfId="0" applyNumberFormat="1" applyFont="1" applyFill="1" applyBorder="1" applyProtection="1">
      <protection hidden="1"/>
    </xf>
    <xf numFmtId="37" fontId="1" fillId="12" borderId="0" xfId="0" applyNumberFormat="1" applyFont="1" applyFill="1" applyBorder="1" applyAlignment="1" applyProtection="1">
      <alignment horizontal="left"/>
      <protection hidden="1"/>
    </xf>
    <xf numFmtId="44" fontId="29" fillId="12" borderId="0" xfId="0" applyNumberFormat="1" applyFont="1" applyFill="1" applyBorder="1" applyProtection="1">
      <protection hidden="1"/>
    </xf>
    <xf numFmtId="44" fontId="29" fillId="12" borderId="2" xfId="0" applyNumberFormat="1" applyFont="1" applyFill="1" applyBorder="1" applyProtection="1">
      <protection hidden="1"/>
    </xf>
    <xf numFmtId="0" fontId="1" fillId="12" borderId="18" xfId="0" applyFont="1" applyFill="1" applyBorder="1" applyProtection="1">
      <protection hidden="1"/>
    </xf>
    <xf numFmtId="9" fontId="1" fillId="12" borderId="18" xfId="2" applyFont="1" applyFill="1" applyBorder="1" applyAlignment="1" applyProtection="1">
      <alignment horizontal="center"/>
      <protection hidden="1"/>
    </xf>
    <xf numFmtId="9" fontId="1" fillId="12" borderId="0" xfId="2" applyFont="1" applyFill="1" applyBorder="1" applyAlignment="1" applyProtection="1">
      <alignment horizontal="center"/>
      <protection hidden="1"/>
    </xf>
    <xf numFmtId="0" fontId="1" fillId="12" borderId="32" xfId="0" applyFont="1" applyFill="1" applyBorder="1" applyProtection="1">
      <protection hidden="1"/>
    </xf>
    <xf numFmtId="0" fontId="1" fillId="12" borderId="33" xfId="0" applyFont="1" applyFill="1" applyBorder="1" applyProtection="1">
      <protection hidden="1"/>
    </xf>
    <xf numFmtId="0" fontId="1" fillId="12" borderId="41" xfId="0" applyFont="1" applyFill="1" applyBorder="1" applyProtection="1">
      <protection hidden="1"/>
    </xf>
    <xf numFmtId="0" fontId="1" fillId="13" borderId="26" xfId="0" applyFont="1" applyFill="1" applyBorder="1" applyProtection="1">
      <protection hidden="1"/>
    </xf>
    <xf numFmtId="0" fontId="1" fillId="13" borderId="27" xfId="0" applyFont="1" applyFill="1" applyBorder="1" applyProtection="1">
      <protection hidden="1"/>
    </xf>
    <xf numFmtId="0" fontId="1" fillId="13" borderId="42" xfId="0" applyFont="1" applyFill="1" applyBorder="1" applyProtection="1">
      <protection hidden="1"/>
    </xf>
    <xf numFmtId="0" fontId="1" fillId="13" borderId="43" xfId="0" applyFont="1" applyFill="1" applyBorder="1" applyProtection="1">
      <protection hidden="1"/>
    </xf>
    <xf numFmtId="0" fontId="1" fillId="13" borderId="0" xfId="0" applyFont="1" applyFill="1" applyBorder="1" applyProtection="1">
      <protection hidden="1"/>
    </xf>
    <xf numFmtId="0" fontId="1" fillId="13" borderId="44" xfId="0" applyFont="1" applyFill="1" applyBorder="1" applyProtection="1">
      <protection hidden="1"/>
    </xf>
    <xf numFmtId="0" fontId="23" fillId="2" borderId="18" xfId="0" applyFont="1" applyFill="1" applyBorder="1" applyAlignment="1" applyProtection="1">
      <alignment horizontal="center"/>
      <protection hidden="1"/>
    </xf>
    <xf numFmtId="0" fontId="1" fillId="13" borderId="18" xfId="0" applyFont="1" applyFill="1" applyBorder="1" applyProtection="1">
      <protection hidden="1"/>
    </xf>
    <xf numFmtId="8" fontId="1" fillId="13" borderId="18" xfId="0" applyNumberFormat="1" applyFont="1" applyFill="1" applyBorder="1" applyProtection="1">
      <protection hidden="1"/>
    </xf>
    <xf numFmtId="8" fontId="1" fillId="13" borderId="0" xfId="0" applyNumberFormat="1" applyFont="1" applyFill="1" applyBorder="1" applyProtection="1">
      <protection hidden="1"/>
    </xf>
    <xf numFmtId="0" fontId="3" fillId="13" borderId="0" xfId="0" applyFont="1" applyFill="1" applyBorder="1" applyProtection="1">
      <protection hidden="1"/>
    </xf>
    <xf numFmtId="44" fontId="3" fillId="13" borderId="18" xfId="0" applyNumberFormat="1" applyFont="1" applyFill="1" applyBorder="1" applyProtection="1">
      <protection hidden="1"/>
    </xf>
    <xf numFmtId="44" fontId="3" fillId="13" borderId="0" xfId="0" applyNumberFormat="1" applyFont="1" applyFill="1" applyBorder="1" applyProtection="1">
      <protection hidden="1"/>
    </xf>
    <xf numFmtId="44" fontId="1" fillId="13" borderId="18" xfId="0" applyNumberFormat="1" applyFont="1" applyFill="1" applyBorder="1" applyProtection="1">
      <protection hidden="1"/>
    </xf>
    <xf numFmtId="44" fontId="1" fillId="13" borderId="0" xfId="0" applyNumberFormat="1" applyFont="1" applyFill="1" applyBorder="1" applyProtection="1">
      <protection hidden="1"/>
    </xf>
    <xf numFmtId="0" fontId="1" fillId="15" borderId="43" xfId="0" applyFont="1" applyFill="1" applyBorder="1" applyProtection="1">
      <protection hidden="1"/>
    </xf>
    <xf numFmtId="0" fontId="3" fillId="15" borderId="0" xfId="0" applyFont="1" applyFill="1" applyBorder="1" applyProtection="1">
      <protection hidden="1"/>
    </xf>
    <xf numFmtId="0" fontId="1" fillId="15" borderId="18" xfId="0" applyFont="1" applyFill="1" applyBorder="1" applyProtection="1">
      <protection hidden="1"/>
    </xf>
    <xf numFmtId="0" fontId="1" fillId="15" borderId="0" xfId="0" applyFont="1" applyFill="1" applyBorder="1" applyProtection="1">
      <protection hidden="1"/>
    </xf>
    <xf numFmtId="0" fontId="1" fillId="15" borderId="44" xfId="0" applyFont="1" applyFill="1" applyBorder="1" applyProtection="1">
      <protection hidden="1"/>
    </xf>
    <xf numFmtId="44" fontId="3" fillId="15" borderId="18" xfId="0" applyNumberFormat="1" applyFont="1" applyFill="1" applyBorder="1" applyProtection="1">
      <protection hidden="1"/>
    </xf>
    <xf numFmtId="44" fontId="3" fillId="15" borderId="0" xfId="0" applyNumberFormat="1" applyFont="1" applyFill="1" applyBorder="1" applyProtection="1">
      <protection hidden="1"/>
    </xf>
    <xf numFmtId="44" fontId="1" fillId="15" borderId="18" xfId="0" applyNumberFormat="1" applyFont="1" applyFill="1" applyBorder="1" applyProtection="1">
      <protection hidden="1"/>
    </xf>
    <xf numFmtId="44" fontId="1" fillId="15" borderId="0" xfId="0" applyNumberFormat="1" applyFont="1" applyFill="1" applyBorder="1" applyProtection="1">
      <protection hidden="1"/>
    </xf>
    <xf numFmtId="9" fontId="1" fillId="15" borderId="18" xfId="2" applyFont="1" applyFill="1" applyBorder="1" applyAlignment="1" applyProtection="1">
      <alignment horizontal="center"/>
      <protection hidden="1"/>
    </xf>
    <xf numFmtId="9" fontId="1" fillId="15" borderId="0" xfId="2" applyFont="1" applyFill="1" applyBorder="1" applyAlignment="1" applyProtection="1">
      <alignment horizontal="center"/>
      <protection hidden="1"/>
    </xf>
    <xf numFmtId="0" fontId="1" fillId="15" borderId="32" xfId="0" applyFont="1" applyFill="1" applyBorder="1" applyProtection="1">
      <protection hidden="1"/>
    </xf>
    <xf numFmtId="0" fontId="1" fillId="15" borderId="33" xfId="0" applyFont="1" applyFill="1" applyBorder="1" applyProtection="1">
      <protection hidden="1"/>
    </xf>
    <xf numFmtId="0" fontId="1" fillId="15" borderId="41" xfId="0" applyFont="1" applyFill="1" applyBorder="1" applyProtection="1">
      <protection hidden="1"/>
    </xf>
    <xf numFmtId="0" fontId="20" fillId="12" borderId="0" xfId="0" applyFont="1" applyFill="1" applyBorder="1" applyProtection="1">
      <protection hidden="1"/>
    </xf>
    <xf numFmtId="0" fontId="1" fillId="12" borderId="4" xfId="0" applyFont="1" applyFill="1" applyBorder="1" applyAlignment="1" applyProtection="1">
      <alignment horizontal="center"/>
      <protection hidden="1"/>
    </xf>
    <xf numFmtId="0" fontId="39" fillId="12" borderId="8" xfId="0" applyFont="1" applyFill="1" applyBorder="1" applyAlignment="1" applyProtection="1">
      <alignment horizontal="center" wrapText="1"/>
      <protection hidden="1"/>
    </xf>
    <xf numFmtId="0" fontId="39" fillId="12" borderId="77" xfId="0" applyFont="1" applyFill="1" applyBorder="1" applyAlignment="1" applyProtection="1">
      <alignment horizontal="center" wrapText="1"/>
      <protection hidden="1"/>
    </xf>
    <xf numFmtId="0" fontId="1" fillId="12" borderId="9" xfId="0" applyFont="1" applyFill="1" applyBorder="1" applyProtection="1">
      <protection hidden="1"/>
    </xf>
    <xf numFmtId="44" fontId="3" fillId="12" borderId="0" xfId="0" applyNumberFormat="1" applyFont="1" applyFill="1" applyBorder="1" applyProtection="1">
      <protection hidden="1"/>
    </xf>
    <xf numFmtId="44" fontId="3" fillId="12" borderId="65" xfId="0" applyNumberFormat="1" applyFont="1" applyFill="1" applyBorder="1" applyProtection="1">
      <protection hidden="1"/>
    </xf>
    <xf numFmtId="44" fontId="4" fillId="12" borderId="0" xfId="0" applyNumberFormat="1" applyFont="1" applyFill="1" applyBorder="1" applyProtection="1">
      <protection hidden="1"/>
    </xf>
    <xf numFmtId="0" fontId="1" fillId="12" borderId="2" xfId="0" applyFont="1" applyFill="1" applyBorder="1" applyAlignment="1" applyProtection="1">
      <alignment horizontal="left"/>
      <protection hidden="1"/>
    </xf>
    <xf numFmtId="0" fontId="1" fillId="12" borderId="65" xfId="0" applyFont="1" applyFill="1" applyBorder="1" applyProtection="1">
      <protection hidden="1"/>
    </xf>
    <xf numFmtId="44" fontId="3" fillId="12" borderId="9" xfId="0" applyNumberFormat="1" applyFont="1" applyFill="1" applyBorder="1" applyProtection="1">
      <protection hidden="1"/>
    </xf>
    <xf numFmtId="0" fontId="1" fillId="12" borderId="10" xfId="0" applyFont="1" applyFill="1" applyBorder="1" applyProtection="1">
      <protection hidden="1"/>
    </xf>
    <xf numFmtId="0" fontId="1" fillId="12" borderId="7" xfId="0" applyFont="1" applyFill="1" applyBorder="1" applyProtection="1">
      <protection hidden="1"/>
    </xf>
    <xf numFmtId="0" fontId="1" fillId="12" borderId="6" xfId="0" applyFont="1" applyFill="1" applyBorder="1" applyAlignment="1" applyProtection="1">
      <alignment horizontal="left"/>
      <protection hidden="1"/>
    </xf>
    <xf numFmtId="0" fontId="1" fillId="12" borderId="78" xfId="0" applyFont="1" applyFill="1" applyBorder="1" applyProtection="1">
      <protection hidden="1"/>
    </xf>
    <xf numFmtId="0" fontId="1" fillId="13" borderId="27" xfId="0" applyFont="1" applyFill="1" applyBorder="1" applyAlignment="1" applyProtection="1">
      <protection hidden="1"/>
    </xf>
    <xf numFmtId="0" fontId="1" fillId="13" borderId="0" xfId="0" applyFont="1" applyFill="1" applyBorder="1" applyAlignment="1" applyProtection="1">
      <protection hidden="1"/>
    </xf>
    <xf numFmtId="0" fontId="3" fillId="13" borderId="0" xfId="0" applyFont="1" applyFill="1" applyBorder="1" applyAlignment="1" applyProtection="1">
      <protection hidden="1"/>
    </xf>
    <xf numFmtId="8" fontId="21" fillId="13" borderId="0" xfId="0" applyNumberFormat="1" applyFont="1" applyFill="1" applyBorder="1" applyAlignment="1" applyProtection="1">
      <alignment vertical="center"/>
      <protection hidden="1"/>
    </xf>
    <xf numFmtId="0" fontId="21" fillId="13" borderId="0" xfId="0" applyFont="1" applyFill="1" applyBorder="1" applyAlignment="1" applyProtection="1">
      <alignment vertical="center"/>
      <protection hidden="1"/>
    </xf>
    <xf numFmtId="0" fontId="3" fillId="13" borderId="43" xfId="0" applyFont="1" applyFill="1" applyBorder="1" applyAlignment="1" applyProtection="1">
      <alignment horizontal="center" wrapText="1"/>
      <protection hidden="1"/>
    </xf>
    <xf numFmtId="0" fontId="3" fillId="13" borderId="0" xfId="0" applyFont="1" applyFill="1" applyBorder="1" applyAlignment="1" applyProtection="1">
      <alignment horizontal="center" wrapText="1"/>
      <protection hidden="1"/>
    </xf>
    <xf numFmtId="8" fontId="3" fillId="13" borderId="0" xfId="0" applyNumberFormat="1" applyFont="1" applyFill="1" applyBorder="1" applyAlignment="1" applyProtection="1">
      <alignment horizontal="center" vertical="center"/>
      <protection hidden="1"/>
    </xf>
    <xf numFmtId="0" fontId="3" fillId="13" borderId="0" xfId="0" applyFont="1" applyFill="1" applyBorder="1" applyAlignment="1" applyProtection="1">
      <alignment horizontal="center" vertical="center"/>
      <protection hidden="1"/>
    </xf>
    <xf numFmtId="0" fontId="1" fillId="5" borderId="26" xfId="0" applyFont="1" applyFill="1" applyBorder="1" applyProtection="1">
      <protection hidden="1"/>
    </xf>
    <xf numFmtId="0" fontId="1" fillId="5" borderId="27" xfId="0" applyFont="1" applyFill="1" applyBorder="1" applyProtection="1">
      <protection hidden="1"/>
    </xf>
    <xf numFmtId="0" fontId="1" fillId="5" borderId="42" xfId="0" applyFont="1" applyFill="1" applyBorder="1" applyProtection="1">
      <protection hidden="1"/>
    </xf>
    <xf numFmtId="0" fontId="43" fillId="5" borderId="43" xfId="0" applyFont="1" applyFill="1" applyBorder="1" applyProtection="1">
      <protection hidden="1"/>
    </xf>
    <xf numFmtId="0" fontId="43" fillId="5" borderId="0" xfId="0" applyFont="1" applyFill="1" applyBorder="1" applyProtection="1">
      <protection hidden="1"/>
    </xf>
    <xf numFmtId="0" fontId="8" fillId="12" borderId="110" xfId="0" applyFont="1" applyFill="1" applyBorder="1" applyProtection="1">
      <protection hidden="1"/>
    </xf>
    <xf numFmtId="0" fontId="43" fillId="12" borderId="81" xfId="0" applyFont="1" applyFill="1" applyBorder="1" applyProtection="1">
      <protection hidden="1"/>
    </xf>
    <xf numFmtId="0" fontId="43" fillId="12" borderId="84" xfId="0" applyFont="1" applyFill="1" applyBorder="1" applyProtection="1">
      <protection hidden="1"/>
    </xf>
    <xf numFmtId="0" fontId="8" fillId="12" borderId="112" xfId="0" applyFont="1" applyFill="1" applyBorder="1" applyProtection="1">
      <protection hidden="1"/>
    </xf>
    <xf numFmtId="0" fontId="43" fillId="12" borderId="86" xfId="0" applyFont="1" applyFill="1" applyBorder="1" applyProtection="1">
      <protection hidden="1"/>
    </xf>
    <xf numFmtId="0" fontId="43" fillId="12" borderId="89" xfId="0" applyFont="1" applyFill="1" applyBorder="1" applyProtection="1">
      <protection hidden="1"/>
    </xf>
    <xf numFmtId="0" fontId="8" fillId="5" borderId="43" xfId="0" applyFont="1" applyFill="1" applyBorder="1" applyProtection="1">
      <protection hidden="1"/>
    </xf>
    <xf numFmtId="8" fontId="43" fillId="5" borderId="0" xfId="0" applyNumberFormat="1" applyFont="1" applyFill="1" applyBorder="1" applyProtection="1">
      <protection hidden="1"/>
    </xf>
    <xf numFmtId="8" fontId="43" fillId="5" borderId="2" xfId="0" applyNumberFormat="1" applyFont="1" applyFill="1" applyBorder="1" applyProtection="1">
      <protection hidden="1"/>
    </xf>
    <xf numFmtId="0" fontId="43" fillId="5" borderId="18" xfId="0" applyFont="1" applyFill="1" applyBorder="1" applyProtection="1">
      <protection hidden="1"/>
    </xf>
    <xf numFmtId="0" fontId="43" fillId="5" borderId="44" xfId="0" applyFont="1" applyFill="1" applyBorder="1" applyProtection="1">
      <protection hidden="1"/>
    </xf>
    <xf numFmtId="0" fontId="8" fillId="13" borderId="114" xfId="0" applyFont="1" applyFill="1" applyBorder="1" applyProtection="1">
      <protection hidden="1"/>
    </xf>
    <xf numFmtId="0" fontId="43" fillId="13" borderId="91" xfId="0" applyFont="1" applyFill="1" applyBorder="1" applyProtection="1">
      <protection hidden="1"/>
    </xf>
    <xf numFmtId="0" fontId="43" fillId="13" borderId="94" xfId="0" applyFont="1" applyFill="1" applyBorder="1" applyProtection="1">
      <protection hidden="1"/>
    </xf>
    <xf numFmtId="0" fontId="8" fillId="13" borderId="116" xfId="0" applyFont="1" applyFill="1" applyBorder="1" applyProtection="1">
      <protection hidden="1"/>
    </xf>
    <xf numFmtId="0" fontId="43" fillId="13" borderId="96" xfId="0" applyFont="1" applyFill="1" applyBorder="1" applyProtection="1">
      <protection hidden="1"/>
    </xf>
    <xf numFmtId="0" fontId="43" fillId="13" borderId="99" xfId="0" applyFont="1" applyFill="1" applyBorder="1" applyProtection="1">
      <protection hidden="1"/>
    </xf>
    <xf numFmtId="0" fontId="8" fillId="15" borderId="118" xfId="0" applyFont="1" applyFill="1" applyBorder="1" applyProtection="1">
      <protection hidden="1"/>
    </xf>
    <xf numFmtId="0" fontId="43" fillId="15" borderId="101" xfId="0" applyFont="1" applyFill="1" applyBorder="1" applyProtection="1">
      <protection hidden="1"/>
    </xf>
    <xf numFmtId="0" fontId="43" fillId="15" borderId="104" xfId="0" applyFont="1" applyFill="1" applyBorder="1" applyProtection="1">
      <protection hidden="1"/>
    </xf>
    <xf numFmtId="0" fontId="8" fillId="15" borderId="120" xfId="0" applyFont="1" applyFill="1" applyBorder="1" applyProtection="1">
      <protection hidden="1"/>
    </xf>
    <xf numFmtId="0" fontId="43" fillId="15" borderId="106" xfId="0" applyFont="1" applyFill="1" applyBorder="1" applyProtection="1">
      <protection hidden="1"/>
    </xf>
    <xf numFmtId="0" fontId="43" fillId="15" borderId="109" xfId="0" applyFont="1" applyFill="1" applyBorder="1" applyProtection="1">
      <protection hidden="1"/>
    </xf>
    <xf numFmtId="0" fontId="7" fillId="7" borderId="57" xfId="0" applyFont="1" applyFill="1" applyBorder="1" applyProtection="1">
      <protection hidden="1"/>
    </xf>
    <xf numFmtId="0" fontId="45" fillId="7" borderId="1" xfId="0" applyFont="1" applyFill="1" applyBorder="1" applyProtection="1">
      <protection hidden="1"/>
    </xf>
    <xf numFmtId="0" fontId="7" fillId="7" borderId="43" xfId="0" applyFont="1" applyFill="1" applyBorder="1" applyProtection="1">
      <protection hidden="1"/>
    </xf>
    <xf numFmtId="0" fontId="45" fillId="7" borderId="0" xfId="0" applyFont="1" applyFill="1" applyBorder="1" applyProtection="1">
      <protection hidden="1"/>
    </xf>
    <xf numFmtId="44" fontId="4" fillId="0" borderId="0" xfId="0" applyNumberFormat="1" applyFont="1" applyFill="1" applyBorder="1" applyProtection="1">
      <protection hidden="1"/>
    </xf>
    <xf numFmtId="44" fontId="4" fillId="0" borderId="9" xfId="0" applyNumberFormat="1" applyFont="1" applyFill="1" applyBorder="1" applyProtection="1">
      <protection hidden="1"/>
    </xf>
    <xf numFmtId="44" fontId="4" fillId="0" borderId="0" xfId="0" applyNumberFormat="1" applyFont="1" applyFill="1" applyBorder="1" applyAlignment="1" applyProtection="1">
      <alignment horizontal="center"/>
      <protection hidden="1"/>
    </xf>
    <xf numFmtId="0" fontId="3" fillId="0" borderId="8" xfId="0" applyFont="1" applyFill="1" applyBorder="1" applyAlignment="1" applyProtection="1">
      <alignment horizontal="center" wrapText="1"/>
      <protection hidden="1"/>
    </xf>
    <xf numFmtId="0" fontId="3" fillId="0" borderId="8" xfId="0" applyFont="1" applyFill="1" applyBorder="1" applyAlignment="1" applyProtection="1">
      <alignment horizontal="center" vertical="center" wrapText="1"/>
      <protection hidden="1"/>
    </xf>
    <xf numFmtId="44" fontId="1" fillId="0" borderId="122" xfId="0" applyNumberFormat="1" applyFont="1" applyFill="1" applyBorder="1" applyAlignment="1" applyProtection="1">
      <alignment horizontal="center"/>
      <protection hidden="1"/>
    </xf>
    <xf numFmtId="44" fontId="1" fillId="0" borderId="123" xfId="0" applyNumberFormat="1" applyFont="1" applyFill="1" applyBorder="1" applyAlignment="1" applyProtection="1">
      <alignment horizontal="center"/>
      <protection hidden="1"/>
    </xf>
    <xf numFmtId="44" fontId="1" fillId="0" borderId="124" xfId="0" applyNumberFormat="1" applyFont="1" applyFill="1" applyBorder="1" applyAlignment="1" applyProtection="1">
      <alignment horizontal="center"/>
      <protection hidden="1"/>
    </xf>
    <xf numFmtId="44" fontId="1" fillId="0" borderId="125" xfId="0" applyNumberFormat="1" applyFont="1" applyFill="1" applyBorder="1" applyAlignment="1" applyProtection="1">
      <alignment horizontal="center"/>
      <protection hidden="1"/>
    </xf>
    <xf numFmtId="44" fontId="1" fillId="0" borderId="126" xfId="0" applyNumberFormat="1" applyFont="1" applyFill="1" applyBorder="1" applyAlignment="1" applyProtection="1">
      <alignment horizontal="center"/>
      <protection hidden="1"/>
    </xf>
    <xf numFmtId="44" fontId="1" fillId="0" borderId="127" xfId="0" applyNumberFormat="1" applyFont="1" applyFill="1" applyBorder="1" applyAlignment="1" applyProtection="1">
      <alignment horizontal="center"/>
      <protection hidden="1"/>
    </xf>
    <xf numFmtId="44" fontId="1" fillId="3" borderId="0" xfId="0" applyNumberFormat="1" applyFont="1" applyFill="1" applyAlignment="1" applyProtection="1">
      <protection locked="0" hidden="1"/>
    </xf>
    <xf numFmtId="44" fontId="15" fillId="7" borderId="18" xfId="0" applyNumberFormat="1" applyFont="1" applyFill="1" applyBorder="1" applyAlignment="1" applyProtection="1">
      <alignment vertical="center"/>
      <protection hidden="1"/>
    </xf>
    <xf numFmtId="44" fontId="15" fillId="7" borderId="9" xfId="0" applyNumberFormat="1" applyFont="1" applyFill="1" applyBorder="1" applyAlignment="1" applyProtection="1">
      <alignment vertical="center"/>
      <protection hidden="1"/>
    </xf>
    <xf numFmtId="0" fontId="16" fillId="2" borderId="9" xfId="0" applyFont="1" applyFill="1" applyBorder="1" applyAlignment="1" applyProtection="1">
      <alignment vertical="center"/>
      <protection hidden="1"/>
    </xf>
    <xf numFmtId="44" fontId="15" fillId="7" borderId="2" xfId="0" applyNumberFormat="1" applyFont="1" applyFill="1" applyBorder="1" applyAlignment="1" applyProtection="1">
      <alignment vertical="center"/>
      <protection hidden="1"/>
    </xf>
    <xf numFmtId="44" fontId="15" fillId="7" borderId="0" xfId="0" applyNumberFormat="1" applyFont="1" applyFill="1" applyAlignment="1" applyProtection="1">
      <alignment vertical="center"/>
      <protection hidden="1"/>
    </xf>
    <xf numFmtId="44" fontId="15" fillId="7" borderId="2" xfId="0" applyNumberFormat="1" applyFont="1" applyFill="1" applyBorder="1" applyAlignment="1" applyProtection="1">
      <alignment horizontal="center" vertical="center"/>
      <protection hidden="1"/>
    </xf>
    <xf numFmtId="8" fontId="38" fillId="0" borderId="50" xfId="0" applyNumberFormat="1" applyFont="1" applyBorder="1" applyProtection="1">
      <protection hidden="1"/>
    </xf>
    <xf numFmtId="8" fontId="38" fillId="6" borderId="25" xfId="0" applyNumberFormat="1" applyFont="1" applyFill="1" applyBorder="1" applyProtection="1">
      <protection hidden="1"/>
    </xf>
    <xf numFmtId="8" fontId="38" fillId="0" borderId="25" xfId="0" applyNumberFormat="1" applyFont="1" applyBorder="1" applyProtection="1">
      <protection hidden="1"/>
    </xf>
    <xf numFmtId="0" fontId="1" fillId="2" borderId="25" xfId="0" applyFont="1" applyFill="1" applyBorder="1" applyProtection="1">
      <protection hidden="1"/>
    </xf>
    <xf numFmtId="8" fontId="12" fillId="0" borderId="50" xfId="0" applyNumberFormat="1" applyFont="1" applyBorder="1" applyProtection="1">
      <protection hidden="1"/>
    </xf>
    <xf numFmtId="8" fontId="12" fillId="6" borderId="25" xfId="0" applyNumberFormat="1" applyFont="1" applyFill="1" applyBorder="1" applyProtection="1">
      <protection hidden="1"/>
    </xf>
    <xf numFmtId="8" fontId="12" fillId="0" borderId="25" xfId="0" applyNumberFormat="1" applyFont="1" applyBorder="1" applyProtection="1">
      <protection hidden="1"/>
    </xf>
    <xf numFmtId="8" fontId="1" fillId="2" borderId="25" xfId="0" applyNumberFormat="1" applyFont="1" applyFill="1" applyBorder="1" applyProtection="1">
      <protection hidden="1"/>
    </xf>
    <xf numFmtId="44" fontId="6" fillId="6" borderId="9" xfId="0" applyNumberFormat="1" applyFont="1" applyFill="1" applyBorder="1" applyAlignment="1" applyProtection="1">
      <protection hidden="1"/>
    </xf>
    <xf numFmtId="44" fontId="6" fillId="6" borderId="18" xfId="0" applyNumberFormat="1" applyFont="1" applyFill="1" applyBorder="1" applyAlignment="1" applyProtection="1">
      <alignment horizontal="center"/>
      <protection hidden="1"/>
    </xf>
    <xf numFmtId="44" fontId="6" fillId="6" borderId="9" xfId="0" applyNumberFormat="1" applyFont="1" applyFill="1" applyBorder="1" applyAlignment="1" applyProtection="1">
      <alignment horizontal="center"/>
      <protection hidden="1"/>
    </xf>
    <xf numFmtId="0" fontId="34" fillId="0" borderId="0" xfId="0" applyFont="1" applyFill="1" applyAlignment="1" applyProtection="1">
      <alignment horizontal="left" vertical="center" wrapText="1"/>
      <protection hidden="1"/>
    </xf>
    <xf numFmtId="44" fontId="6" fillId="3" borderId="0" xfId="0" applyNumberFormat="1" applyFont="1" applyFill="1" applyBorder="1" applyAlignment="1" applyProtection="1">
      <protection locked="0" hidden="1"/>
    </xf>
    <xf numFmtId="44" fontId="6" fillId="6" borderId="0" xfId="0" applyNumberFormat="1" applyFont="1" applyFill="1" applyBorder="1" applyAlignment="1" applyProtection="1">
      <protection hidden="1"/>
    </xf>
    <xf numFmtId="0" fontId="1" fillId="0" borderId="0" xfId="0" applyFont="1" applyFill="1" applyBorder="1" applyAlignment="1" applyProtection="1">
      <protection hidden="1"/>
    </xf>
    <xf numFmtId="0" fontId="1" fillId="6" borderId="0" xfId="0" applyFont="1" applyFill="1" applyBorder="1" applyAlignment="1" applyProtection="1">
      <protection hidden="1"/>
    </xf>
    <xf numFmtId="44" fontId="20" fillId="0" borderId="0" xfId="0" applyNumberFormat="1" applyFont="1" applyBorder="1" applyProtection="1">
      <protection hidden="1"/>
    </xf>
    <xf numFmtId="44" fontId="20" fillId="6" borderId="0" xfId="0" applyNumberFormat="1" applyFont="1" applyFill="1" applyBorder="1" applyProtection="1">
      <protection hidden="1"/>
    </xf>
    <xf numFmtId="44" fontId="20" fillId="0" borderId="0" xfId="0" applyNumberFormat="1" applyFont="1" applyBorder="1" applyAlignment="1" applyProtection="1">
      <alignment horizontal="center"/>
      <protection hidden="1"/>
    </xf>
    <xf numFmtId="44" fontId="5" fillId="0" borderId="0" xfId="0" applyNumberFormat="1" applyFont="1" applyBorder="1" applyProtection="1">
      <protection hidden="1"/>
    </xf>
    <xf numFmtId="44" fontId="5" fillId="6" borderId="0" xfId="0" applyNumberFormat="1" applyFont="1" applyFill="1" applyBorder="1" applyProtection="1">
      <protection hidden="1"/>
    </xf>
    <xf numFmtId="44" fontId="5" fillId="0" borderId="0" xfId="0" applyNumberFormat="1" applyFont="1" applyBorder="1" applyAlignment="1" applyProtection="1">
      <alignment horizontal="center"/>
      <protection hidden="1"/>
    </xf>
    <xf numFmtId="44" fontId="4" fillId="0" borderId="0" xfId="0" applyNumberFormat="1" applyFont="1" applyBorder="1" applyProtection="1">
      <protection hidden="1"/>
    </xf>
    <xf numFmtId="44" fontId="4" fillId="6" borderId="0" xfId="0" applyNumberFormat="1" applyFont="1" applyFill="1" applyBorder="1" applyProtection="1">
      <protection hidden="1"/>
    </xf>
    <xf numFmtId="44" fontId="6" fillId="0" borderId="0" xfId="0" applyNumberFormat="1" applyFont="1" applyBorder="1" applyProtection="1">
      <protection hidden="1"/>
    </xf>
    <xf numFmtId="44" fontId="6" fillId="6" borderId="0" xfId="0" applyNumberFormat="1" applyFont="1" applyFill="1" applyBorder="1" applyProtection="1">
      <protection hidden="1"/>
    </xf>
    <xf numFmtId="44" fontId="1" fillId="6" borderId="0" xfId="0" applyNumberFormat="1" applyFont="1" applyFill="1" applyBorder="1" applyAlignment="1" applyProtection="1">
      <alignment horizontal="center"/>
      <protection hidden="1"/>
    </xf>
    <xf numFmtId="44" fontId="4" fillId="0" borderId="0" xfId="0" applyNumberFormat="1" applyFont="1" applyBorder="1" applyAlignment="1" applyProtection="1">
      <alignment horizontal="center"/>
      <protection hidden="1"/>
    </xf>
    <xf numFmtId="44" fontId="4" fillId="6" borderId="0" xfId="0" applyNumberFormat="1" applyFont="1" applyFill="1" applyBorder="1" applyAlignment="1" applyProtection="1">
      <alignment horizontal="center"/>
      <protection hidden="1"/>
    </xf>
    <xf numFmtId="44" fontId="1" fillId="3" borderId="0" xfId="0" applyNumberFormat="1" applyFont="1" applyFill="1" applyBorder="1" applyProtection="1">
      <protection locked="0" hidden="1"/>
    </xf>
    <xf numFmtId="0" fontId="8" fillId="0" borderId="0" xfId="0" applyFont="1" applyBorder="1" applyProtection="1">
      <protection hidden="1"/>
    </xf>
    <xf numFmtId="44" fontId="9" fillId="0" borderId="0" xfId="0" applyNumberFormat="1" applyFont="1" applyBorder="1" applyProtection="1">
      <protection hidden="1"/>
    </xf>
    <xf numFmtId="44" fontId="19" fillId="0" borderId="0" xfId="0" applyNumberFormat="1" applyFont="1" applyBorder="1" applyAlignment="1" applyProtection="1">
      <protection hidden="1"/>
    </xf>
    <xf numFmtId="0" fontId="8" fillId="0" borderId="10" xfId="0" applyFont="1" applyBorder="1" applyProtection="1">
      <protection hidden="1"/>
    </xf>
    <xf numFmtId="44" fontId="9" fillId="0" borderId="10" xfId="0" applyNumberFormat="1" applyFont="1" applyBorder="1" applyProtection="1">
      <protection hidden="1"/>
    </xf>
    <xf numFmtId="0" fontId="8" fillId="2" borderId="10" xfId="0" applyFont="1" applyFill="1" applyBorder="1" applyProtection="1">
      <protection hidden="1"/>
    </xf>
    <xf numFmtId="0" fontId="7" fillId="6" borderId="10" xfId="0" applyFont="1" applyFill="1" applyBorder="1" applyProtection="1">
      <protection hidden="1"/>
    </xf>
    <xf numFmtId="0" fontId="8" fillId="6" borderId="10" xfId="0" applyFont="1" applyFill="1" applyBorder="1" applyProtection="1">
      <protection hidden="1"/>
    </xf>
    <xf numFmtId="44" fontId="8" fillId="6" borderId="10" xfId="0" applyNumberFormat="1" applyFont="1" applyFill="1" applyBorder="1" applyAlignment="1" applyProtection="1">
      <alignment horizontal="center"/>
      <protection hidden="1"/>
    </xf>
    <xf numFmtId="44" fontId="8" fillId="6" borderId="6" xfId="0" applyNumberFormat="1" applyFont="1" applyFill="1" applyBorder="1" applyAlignment="1" applyProtection="1">
      <alignment horizontal="center"/>
      <protection hidden="1"/>
    </xf>
    <xf numFmtId="0" fontId="7" fillId="6" borderId="0" xfId="0" applyFont="1" applyFill="1" applyBorder="1" applyProtection="1">
      <protection hidden="1"/>
    </xf>
    <xf numFmtId="0" fontId="8" fillId="6" borderId="0" xfId="0" applyFont="1" applyFill="1" applyBorder="1" applyProtection="1">
      <protection hidden="1"/>
    </xf>
    <xf numFmtId="44" fontId="8" fillId="6" borderId="0" xfId="0" applyNumberFormat="1" applyFont="1" applyFill="1" applyBorder="1" applyAlignment="1" applyProtection="1">
      <alignment horizontal="center"/>
      <protection hidden="1"/>
    </xf>
    <xf numFmtId="0" fontId="1" fillId="0" borderId="10" xfId="0" applyFont="1" applyBorder="1" applyAlignment="1" applyProtection="1">
      <protection hidden="1"/>
    </xf>
    <xf numFmtId="44" fontId="19" fillId="0" borderId="10" xfId="0" applyNumberFormat="1" applyFont="1" applyBorder="1" applyAlignment="1" applyProtection="1">
      <protection hidden="1"/>
    </xf>
    <xf numFmtId="0" fontId="1" fillId="2" borderId="10" xfId="0" applyFont="1" applyFill="1" applyBorder="1" applyAlignment="1" applyProtection="1">
      <protection hidden="1"/>
    </xf>
    <xf numFmtId="0" fontId="3" fillId="6" borderId="10" xfId="0" applyFont="1" applyFill="1" applyBorder="1" applyAlignment="1" applyProtection="1">
      <protection hidden="1"/>
    </xf>
    <xf numFmtId="0" fontId="1" fillId="6" borderId="10" xfId="0" applyFont="1" applyFill="1" applyBorder="1" applyAlignment="1" applyProtection="1">
      <protection hidden="1"/>
    </xf>
    <xf numFmtId="44" fontId="1" fillId="6" borderId="10" xfId="0" applyNumberFormat="1" applyFont="1" applyFill="1" applyBorder="1" applyAlignment="1" applyProtection="1">
      <alignment horizontal="center"/>
      <protection hidden="1"/>
    </xf>
    <xf numFmtId="44" fontId="1" fillId="6" borderId="6" xfId="0" applyNumberFormat="1" applyFont="1" applyFill="1" applyBorder="1" applyAlignment="1" applyProtection="1">
      <alignment horizontal="center"/>
      <protection hidden="1"/>
    </xf>
    <xf numFmtId="0" fontId="1" fillId="2" borderId="0" xfId="0" applyFont="1" applyFill="1" applyBorder="1" applyAlignment="1" applyProtection="1">
      <protection hidden="1"/>
    </xf>
    <xf numFmtId="0" fontId="3" fillId="6" borderId="0" xfId="0" applyFont="1" applyFill="1" applyBorder="1" applyAlignment="1" applyProtection="1">
      <protection hidden="1"/>
    </xf>
    <xf numFmtId="44" fontId="3" fillId="18" borderId="2" xfId="0" applyNumberFormat="1" applyFont="1" applyFill="1" applyBorder="1" applyAlignment="1" applyProtection="1">
      <alignment horizontal="center"/>
      <protection hidden="1"/>
    </xf>
    <xf numFmtId="44" fontId="1" fillId="18" borderId="2" xfId="0" applyNumberFormat="1" applyFont="1" applyFill="1" applyBorder="1" applyAlignment="1" applyProtection="1">
      <alignment horizontal="center"/>
      <protection hidden="1"/>
    </xf>
    <xf numFmtId="44" fontId="32" fillId="18" borderId="2" xfId="0" applyNumberFormat="1" applyFont="1" applyFill="1" applyBorder="1" applyAlignment="1" applyProtection="1">
      <alignment horizontal="center"/>
      <protection hidden="1"/>
    </xf>
    <xf numFmtId="44" fontId="20" fillId="18" borderId="2" xfId="0" applyNumberFormat="1" applyFont="1" applyFill="1" applyBorder="1" applyAlignment="1" applyProtection="1">
      <alignment horizontal="center"/>
      <protection hidden="1"/>
    </xf>
    <xf numFmtId="44" fontId="5" fillId="18" borderId="2" xfId="0" applyNumberFormat="1" applyFont="1" applyFill="1" applyBorder="1" applyAlignment="1" applyProtection="1">
      <alignment horizontal="center"/>
      <protection hidden="1"/>
    </xf>
    <xf numFmtId="44" fontId="4" fillId="18" borderId="2" xfId="0" applyNumberFormat="1" applyFont="1" applyFill="1" applyBorder="1" applyAlignment="1" applyProtection="1">
      <alignment horizontal="center"/>
      <protection hidden="1"/>
    </xf>
    <xf numFmtId="44" fontId="6" fillId="18" borderId="2" xfId="0" applyNumberFormat="1" applyFont="1" applyFill="1" applyBorder="1" applyAlignment="1" applyProtection="1">
      <alignment horizontal="center"/>
      <protection hidden="1"/>
    </xf>
    <xf numFmtId="44" fontId="27" fillId="18" borderId="9" xfId="0" applyNumberFormat="1" applyFont="1" applyFill="1" applyBorder="1" applyAlignment="1" applyProtection="1">
      <alignment horizontal="center"/>
      <protection hidden="1"/>
    </xf>
    <xf numFmtId="44" fontId="27" fillId="18" borderId="2" xfId="0" applyNumberFormat="1" applyFont="1" applyFill="1" applyBorder="1" applyAlignment="1" applyProtection="1">
      <alignment horizontal="center"/>
      <protection hidden="1"/>
    </xf>
    <xf numFmtId="44" fontId="8" fillId="18" borderId="6" xfId="0" applyNumberFormat="1" applyFont="1" applyFill="1" applyBorder="1" applyAlignment="1" applyProtection="1">
      <alignment horizontal="center"/>
      <protection hidden="1"/>
    </xf>
    <xf numFmtId="44" fontId="8" fillId="18" borderId="2" xfId="0" applyNumberFormat="1" applyFont="1" applyFill="1" applyBorder="1" applyAlignment="1" applyProtection="1">
      <alignment horizontal="center"/>
      <protection hidden="1"/>
    </xf>
    <xf numFmtId="44" fontId="6" fillId="18" borderId="9" xfId="0" applyNumberFormat="1" applyFont="1" applyFill="1" applyBorder="1" applyAlignment="1" applyProtection="1">
      <protection hidden="1"/>
    </xf>
    <xf numFmtId="44" fontId="6" fillId="18" borderId="9" xfId="0" applyNumberFormat="1" applyFont="1" applyFill="1" applyBorder="1" applyAlignment="1" applyProtection="1">
      <alignment horizontal="center"/>
      <protection hidden="1"/>
    </xf>
    <xf numFmtId="44" fontId="1" fillId="18" borderId="6" xfId="0" applyNumberFormat="1" applyFont="1" applyFill="1" applyBorder="1" applyAlignment="1" applyProtection="1">
      <alignment horizontal="center"/>
      <protection hidden="1"/>
    </xf>
    <xf numFmtId="44" fontId="28" fillId="18" borderId="2" xfId="0" applyNumberFormat="1" applyFont="1" applyFill="1" applyBorder="1" applyAlignment="1" applyProtection="1">
      <alignment horizontal="center"/>
      <protection hidden="1"/>
    </xf>
    <xf numFmtId="44" fontId="20" fillId="18" borderId="53" xfId="0" applyNumberFormat="1" applyFont="1" applyFill="1" applyBorder="1" applyAlignment="1" applyProtection="1">
      <alignment horizontal="center"/>
      <protection hidden="1"/>
    </xf>
    <xf numFmtId="44" fontId="1" fillId="18" borderId="2" xfId="0" applyNumberFormat="1" applyFont="1" applyFill="1" applyBorder="1" applyAlignment="1" applyProtection="1">
      <protection hidden="1"/>
    </xf>
    <xf numFmtId="44" fontId="10" fillId="18" borderId="2" xfId="0" applyNumberFormat="1" applyFont="1" applyFill="1" applyBorder="1" applyAlignment="1" applyProtection="1">
      <alignment horizontal="center"/>
      <protection hidden="1"/>
    </xf>
    <xf numFmtId="44" fontId="16" fillId="18" borderId="2" xfId="0" applyNumberFormat="1" applyFont="1" applyFill="1" applyBorder="1" applyAlignment="1" applyProtection="1">
      <alignment horizontal="center"/>
      <protection hidden="1"/>
    </xf>
    <xf numFmtId="164" fontId="18" fillId="18" borderId="48" xfId="0" applyNumberFormat="1" applyFont="1" applyFill="1" applyBorder="1" applyAlignment="1" applyProtection="1">
      <alignment horizontal="center"/>
      <protection hidden="1"/>
    </xf>
    <xf numFmtId="44" fontId="1" fillId="18" borderId="0" xfId="0" applyNumberFormat="1" applyFont="1" applyFill="1" applyAlignment="1" applyProtection="1">
      <alignment horizontal="center"/>
      <protection hidden="1"/>
    </xf>
    <xf numFmtId="44" fontId="4" fillId="18" borderId="0" xfId="0" applyNumberFormat="1" applyFont="1" applyFill="1" applyAlignment="1" applyProtection="1">
      <alignment horizontal="center"/>
      <protection hidden="1"/>
    </xf>
    <xf numFmtId="44" fontId="28" fillId="18" borderId="0" xfId="0" applyNumberFormat="1" applyFont="1" applyFill="1" applyProtection="1">
      <protection hidden="1"/>
    </xf>
    <xf numFmtId="8" fontId="38" fillId="18" borderId="25" xfId="0" applyNumberFormat="1" applyFont="1" applyFill="1" applyBorder="1" applyProtection="1">
      <protection hidden="1"/>
    </xf>
    <xf numFmtId="8" fontId="12" fillId="18" borderId="25" xfId="0" applyNumberFormat="1" applyFont="1" applyFill="1" applyBorder="1" applyProtection="1">
      <protection hidden="1"/>
    </xf>
    <xf numFmtId="8" fontId="18" fillId="18" borderId="48" xfId="0" applyNumberFormat="1" applyFont="1" applyFill="1" applyBorder="1" applyAlignment="1" applyProtection="1">
      <alignment horizontal="center"/>
      <protection hidden="1"/>
    </xf>
    <xf numFmtId="8" fontId="18" fillId="18" borderId="49" xfId="0" applyNumberFormat="1" applyFont="1" applyFill="1" applyBorder="1" applyAlignment="1" applyProtection="1">
      <alignment horizontal="center"/>
      <protection hidden="1"/>
    </xf>
    <xf numFmtId="8" fontId="38" fillId="18" borderId="46" xfId="0" applyNumberFormat="1" applyFont="1" applyFill="1" applyBorder="1" applyProtection="1">
      <protection hidden="1"/>
    </xf>
    <xf numFmtId="8" fontId="12" fillId="18" borderId="46" xfId="0" applyNumberFormat="1" applyFont="1" applyFill="1" applyBorder="1" applyProtection="1">
      <protection hidden="1"/>
    </xf>
    <xf numFmtId="44" fontId="6" fillId="18" borderId="2" xfId="0" applyNumberFormat="1" applyFont="1" applyFill="1" applyBorder="1" applyAlignment="1" applyProtection="1">
      <protection hidden="1"/>
    </xf>
    <xf numFmtId="0" fontId="3" fillId="0" borderId="0" xfId="0" applyFont="1" applyAlignment="1">
      <alignment horizontal="center"/>
    </xf>
    <xf numFmtId="0" fontId="1" fillId="4" borderId="0" xfId="0" applyFont="1" applyFill="1" applyAlignment="1" applyProtection="1">
      <alignment horizontal="center"/>
      <protection locked="0" hidden="1"/>
    </xf>
    <xf numFmtId="0" fontId="1" fillId="6" borderId="0" xfId="0" applyFont="1" applyFill="1" applyBorder="1" applyAlignment="1" applyProtection="1">
      <alignment horizontal="center" vertical="center" wrapText="1"/>
      <protection hidden="1"/>
    </xf>
    <xf numFmtId="44" fontId="6" fillId="6" borderId="4" xfId="0" applyNumberFormat="1" applyFont="1" applyFill="1" applyBorder="1" applyProtection="1">
      <protection hidden="1"/>
    </xf>
    <xf numFmtId="44" fontId="6" fillId="0" borderId="4" xfId="0" applyNumberFormat="1" applyFont="1" applyBorder="1" applyProtection="1">
      <protection hidden="1"/>
    </xf>
    <xf numFmtId="44" fontId="6" fillId="6" borderId="13" xfId="0" applyNumberFormat="1" applyFont="1" applyFill="1" applyBorder="1" applyProtection="1">
      <protection hidden="1"/>
    </xf>
    <xf numFmtId="44" fontId="6" fillId="6" borderId="0" xfId="0" applyNumberFormat="1" applyFont="1" applyFill="1" applyAlignment="1" applyProtection="1">
      <alignment vertical="center"/>
      <protection hidden="1"/>
    </xf>
    <xf numFmtId="44" fontId="6" fillId="0" borderId="0" xfId="0" applyNumberFormat="1" applyFont="1" applyAlignment="1" applyProtection="1">
      <alignment vertical="center"/>
      <protection hidden="1"/>
    </xf>
    <xf numFmtId="44" fontId="7" fillId="6" borderId="0" xfId="0" applyNumberFormat="1" applyFont="1" applyFill="1" applyBorder="1" applyAlignment="1" applyProtection="1">
      <alignment horizontal="center" vertical="center"/>
      <protection hidden="1"/>
    </xf>
    <xf numFmtId="44" fontId="7" fillId="9" borderId="0" xfId="0" applyNumberFormat="1" applyFont="1" applyFill="1" applyBorder="1" applyAlignment="1" applyProtection="1">
      <alignment horizontal="center" vertical="center"/>
      <protection hidden="1"/>
    </xf>
    <xf numFmtId="44" fontId="31" fillId="10" borderId="44" xfId="0" applyNumberFormat="1" applyFont="1" applyFill="1" applyBorder="1" applyAlignment="1" applyProtection="1">
      <alignment horizontal="center" vertical="center"/>
      <protection hidden="1"/>
    </xf>
    <xf numFmtId="44" fontId="7" fillId="6" borderId="33" xfId="0" applyNumberFormat="1" applyFont="1" applyFill="1" applyBorder="1" applyAlignment="1" applyProtection="1">
      <alignment horizontal="center" vertical="center"/>
      <protection hidden="1"/>
    </xf>
    <xf numFmtId="44" fontId="7" fillId="9" borderId="33" xfId="0" applyNumberFormat="1" applyFont="1" applyFill="1" applyBorder="1" applyAlignment="1" applyProtection="1">
      <alignment horizontal="center" vertical="center"/>
      <protection hidden="1"/>
    </xf>
    <xf numFmtId="44" fontId="7" fillId="10" borderId="41" xfId="0" applyNumberFormat="1" applyFont="1" applyFill="1" applyBorder="1" applyAlignment="1" applyProtection="1">
      <alignment horizontal="center" vertical="center"/>
      <protection hidden="1"/>
    </xf>
    <xf numFmtId="44" fontId="8" fillId="6" borderId="0" xfId="0" applyNumberFormat="1" applyFont="1" applyFill="1" applyBorder="1" applyAlignment="1" applyProtection="1">
      <alignment horizontal="center" vertical="center"/>
      <protection hidden="1"/>
    </xf>
    <xf numFmtId="44" fontId="8" fillId="0" borderId="0" xfId="0" applyNumberFormat="1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44" fontId="8" fillId="6" borderId="27" xfId="0" applyNumberFormat="1" applyFont="1" applyFill="1" applyBorder="1" applyAlignment="1" applyProtection="1">
      <alignment horizontal="center" vertical="center"/>
      <protection hidden="1"/>
    </xf>
    <xf numFmtId="44" fontId="8" fillId="0" borderId="27" xfId="0" applyNumberFormat="1" applyFont="1" applyFill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center"/>
      <protection hidden="1"/>
    </xf>
    <xf numFmtId="44" fontId="7" fillId="10" borderId="44" xfId="0" applyNumberFormat="1" applyFont="1" applyFill="1" applyBorder="1" applyAlignment="1" applyProtection="1">
      <alignment horizontal="center" vertical="center"/>
      <protection hidden="1"/>
    </xf>
    <xf numFmtId="44" fontId="8" fillId="6" borderId="33" xfId="0" applyNumberFormat="1" applyFont="1" applyFill="1" applyBorder="1" applyAlignment="1" applyProtection="1">
      <alignment horizontal="center" vertical="center"/>
      <protection hidden="1"/>
    </xf>
    <xf numFmtId="44" fontId="8" fillId="0" borderId="33" xfId="0" applyNumberFormat="1" applyFont="1" applyFill="1" applyBorder="1" applyAlignment="1" applyProtection="1">
      <alignment horizontal="center" vertical="center"/>
      <protection hidden="1"/>
    </xf>
    <xf numFmtId="0" fontId="3" fillId="0" borderId="33" xfId="0" applyFont="1" applyBorder="1" applyAlignment="1" applyProtection="1">
      <alignment horizontal="center"/>
      <protection hidden="1"/>
    </xf>
    <xf numFmtId="44" fontId="7" fillId="0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left" vertical="center"/>
      <protection hidden="1"/>
    </xf>
    <xf numFmtId="0" fontId="23" fillId="2" borderId="54" xfId="0" applyFont="1" applyFill="1" applyBorder="1" applyAlignment="1" applyProtection="1">
      <alignment horizontal="center" wrapText="1"/>
      <protection hidden="1"/>
    </xf>
    <xf numFmtId="44" fontId="7" fillId="6" borderId="1" xfId="0" applyNumberFormat="1" applyFont="1" applyFill="1" applyBorder="1" applyAlignment="1" applyProtection="1">
      <alignment horizontal="center" vertical="center"/>
      <protection hidden="1"/>
    </xf>
    <xf numFmtId="1" fontId="8" fillId="0" borderId="3" xfId="0" applyNumberFormat="1" applyFont="1" applyFill="1" applyBorder="1" applyAlignment="1" applyProtection="1">
      <alignment horizontal="center" vertical="center"/>
      <protection hidden="1"/>
    </xf>
    <xf numFmtId="44" fontId="7" fillId="6" borderId="52" xfId="0" applyNumberFormat="1" applyFont="1" applyFill="1" applyBorder="1" applyAlignment="1" applyProtection="1">
      <alignment horizontal="center" vertical="center"/>
      <protection hidden="1"/>
    </xf>
    <xf numFmtId="1" fontId="8" fillId="0" borderId="53" xfId="0" applyNumberFormat="1" applyFont="1" applyFill="1" applyBorder="1" applyAlignment="1" applyProtection="1">
      <alignment horizontal="center" vertical="center"/>
      <protection hidden="1"/>
    </xf>
    <xf numFmtId="44" fontId="7" fillId="6" borderId="37" xfId="0" applyNumberFormat="1" applyFont="1" applyFill="1" applyBorder="1" applyAlignment="1" applyProtection="1">
      <alignment horizontal="center" vertical="center"/>
      <protection hidden="1"/>
    </xf>
    <xf numFmtId="44" fontId="8" fillId="0" borderId="0" xfId="0" applyNumberFormat="1" applyFont="1" applyBorder="1" applyAlignment="1" applyProtection="1">
      <alignment horizontal="center" vertical="center"/>
      <protection hidden="1"/>
    </xf>
    <xf numFmtId="44" fontId="3" fillId="9" borderId="0" xfId="0" applyNumberFormat="1" applyFont="1" applyFill="1" applyBorder="1" applyProtection="1">
      <protection hidden="1"/>
    </xf>
    <xf numFmtId="44" fontId="3" fillId="10" borderId="44" xfId="0" applyNumberFormat="1" applyFont="1" applyFill="1" applyBorder="1" applyProtection="1">
      <protection hidden="1"/>
    </xf>
    <xf numFmtId="44" fontId="3" fillId="9" borderId="33" xfId="0" applyNumberFormat="1" applyFont="1" applyFill="1" applyBorder="1" applyProtection="1">
      <protection hidden="1"/>
    </xf>
    <xf numFmtId="44" fontId="3" fillId="10" borderId="41" xfId="0" applyNumberFormat="1" applyFont="1" applyFill="1" applyBorder="1" applyProtection="1">
      <protection hidden="1"/>
    </xf>
    <xf numFmtId="1" fontId="1" fillId="3" borderId="5" xfId="0" applyNumberFormat="1" applyFont="1" applyFill="1" applyBorder="1" applyAlignment="1" applyProtection="1">
      <alignment horizontal="center"/>
      <protection locked="0" hidden="1"/>
    </xf>
    <xf numFmtId="0" fontId="11" fillId="0" borderId="5" xfId="0" applyFont="1" applyBorder="1" applyProtection="1">
      <protection hidden="1"/>
    </xf>
    <xf numFmtId="0" fontId="11" fillId="0" borderId="0" xfId="0" applyFont="1" applyBorder="1" applyProtection="1">
      <protection hidden="1"/>
    </xf>
    <xf numFmtId="0" fontId="1" fillId="0" borderId="0" xfId="0" applyFont="1" applyBorder="1" applyAlignment="1" applyProtection="1">
      <alignment horizontal="left" vertical="center" wrapText="1"/>
      <protection hidden="1"/>
    </xf>
    <xf numFmtId="0" fontId="25" fillId="2" borderId="0" xfId="0" applyFont="1" applyFill="1" applyProtection="1">
      <protection hidden="1"/>
    </xf>
    <xf numFmtId="44" fontId="31" fillId="5" borderId="27" xfId="0" applyNumberFormat="1" applyFont="1" applyFill="1" applyBorder="1" applyAlignment="1" applyProtection="1">
      <alignment vertical="center"/>
      <protection hidden="1"/>
    </xf>
    <xf numFmtId="44" fontId="1" fillId="0" borderId="15" xfId="0" applyNumberFormat="1" applyFont="1" applyBorder="1" applyProtection="1">
      <protection hidden="1"/>
    </xf>
    <xf numFmtId="44" fontId="3" fillId="6" borderId="15" xfId="0" applyNumberFormat="1" applyFont="1" applyFill="1" applyBorder="1" applyProtection="1">
      <protection hidden="1"/>
    </xf>
    <xf numFmtId="44" fontId="1" fillId="6" borderId="67" xfId="0" applyNumberFormat="1" applyFont="1" applyFill="1" applyBorder="1" applyProtection="1">
      <protection hidden="1"/>
    </xf>
    <xf numFmtId="44" fontId="1" fillId="0" borderId="16" xfId="0" applyNumberFormat="1" applyFont="1" applyBorder="1" applyProtection="1">
      <protection hidden="1"/>
    </xf>
    <xf numFmtId="44" fontId="3" fillId="6" borderId="16" xfId="0" applyNumberFormat="1" applyFont="1" applyFill="1" applyBorder="1" applyProtection="1">
      <protection hidden="1"/>
    </xf>
    <xf numFmtId="44" fontId="1" fillId="6" borderId="68" xfId="0" applyNumberFormat="1" applyFont="1" applyFill="1" applyBorder="1" applyProtection="1">
      <protection hidden="1"/>
    </xf>
    <xf numFmtId="0" fontId="1" fillId="0" borderId="16" xfId="0" applyFont="1" applyBorder="1" applyProtection="1">
      <protection hidden="1"/>
    </xf>
    <xf numFmtId="0" fontId="3" fillId="6" borderId="16" xfId="0" applyFont="1" applyFill="1" applyBorder="1" applyProtection="1">
      <protection hidden="1"/>
    </xf>
    <xf numFmtId="0" fontId="1" fillId="6" borderId="68" xfId="0" applyFont="1" applyFill="1" applyBorder="1" applyProtection="1">
      <protection hidden="1"/>
    </xf>
    <xf numFmtId="44" fontId="1" fillId="0" borderId="17" xfId="0" applyNumberFormat="1" applyFont="1" applyBorder="1" applyProtection="1">
      <protection hidden="1"/>
    </xf>
    <xf numFmtId="44" fontId="3" fillId="6" borderId="17" xfId="0" applyNumberFormat="1" applyFont="1" applyFill="1" applyBorder="1" applyProtection="1">
      <protection hidden="1"/>
    </xf>
    <xf numFmtId="44" fontId="1" fillId="6" borderId="69" xfId="0" applyNumberFormat="1" applyFont="1" applyFill="1" applyBorder="1" applyProtection="1">
      <protection hidden="1"/>
    </xf>
    <xf numFmtId="44" fontId="1" fillId="6" borderId="15" xfId="0" applyNumberFormat="1" applyFont="1" applyFill="1" applyBorder="1" applyProtection="1">
      <protection hidden="1"/>
    </xf>
    <xf numFmtId="44" fontId="1" fillId="6" borderId="16" xfId="0" applyNumberFormat="1" applyFont="1" applyFill="1" applyBorder="1" applyProtection="1">
      <protection hidden="1"/>
    </xf>
    <xf numFmtId="0" fontId="1" fillId="6" borderId="16" xfId="0" applyFont="1" applyFill="1" applyBorder="1" applyProtection="1">
      <protection hidden="1"/>
    </xf>
    <xf numFmtId="44" fontId="1" fillId="6" borderId="17" xfId="0" applyNumberFormat="1" applyFont="1" applyFill="1" applyBorder="1" applyProtection="1">
      <protection hidden="1"/>
    </xf>
    <xf numFmtId="0" fontId="3" fillId="6" borderId="0" xfId="0" applyFont="1" applyFill="1" applyBorder="1" applyAlignment="1" applyProtection="1">
      <alignment horizontal="center"/>
      <protection hidden="1"/>
    </xf>
    <xf numFmtId="0" fontId="3" fillId="6" borderId="33" xfId="0" applyFont="1" applyFill="1" applyBorder="1" applyAlignment="1" applyProtection="1">
      <alignment horizontal="center"/>
      <protection hidden="1"/>
    </xf>
    <xf numFmtId="44" fontId="1" fillId="6" borderId="20" xfId="0" applyNumberFormat="1" applyFont="1" applyFill="1" applyBorder="1" applyProtection="1">
      <protection locked="0" hidden="1"/>
    </xf>
    <xf numFmtId="44" fontId="3" fillId="0" borderId="15" xfId="0" applyNumberFormat="1" applyFont="1" applyBorder="1" applyProtection="1">
      <protection hidden="1"/>
    </xf>
    <xf numFmtId="0" fontId="1" fillId="6" borderId="15" xfId="0" applyFont="1" applyFill="1" applyBorder="1" applyProtection="1">
      <protection hidden="1"/>
    </xf>
    <xf numFmtId="44" fontId="1" fillId="6" borderId="22" xfId="0" applyNumberFormat="1" applyFont="1" applyFill="1" applyBorder="1" applyProtection="1">
      <protection locked="0" hidden="1"/>
    </xf>
    <xf numFmtId="44" fontId="3" fillId="0" borderId="16" xfId="0" applyNumberFormat="1" applyFont="1" applyBorder="1" applyProtection="1">
      <protection hidden="1"/>
    </xf>
    <xf numFmtId="44" fontId="4" fillId="3" borderId="17" xfId="0" applyNumberFormat="1" applyFont="1" applyFill="1" applyBorder="1" applyProtection="1">
      <protection locked="0" hidden="1"/>
    </xf>
    <xf numFmtId="44" fontId="4" fillId="6" borderId="24" xfId="0" applyNumberFormat="1" applyFont="1" applyFill="1" applyBorder="1" applyProtection="1">
      <protection locked="0" hidden="1"/>
    </xf>
    <xf numFmtId="44" fontId="2" fillId="0" borderId="17" xfId="0" applyNumberFormat="1" applyFont="1" applyBorder="1" applyProtection="1">
      <protection hidden="1"/>
    </xf>
    <xf numFmtId="0" fontId="1" fillId="6" borderId="17" xfId="0" applyFont="1" applyFill="1" applyBorder="1" applyProtection="1">
      <protection hidden="1"/>
    </xf>
    <xf numFmtId="164" fontId="23" fillId="2" borderId="4" xfId="0" applyNumberFormat="1" applyFont="1" applyFill="1" applyBorder="1" applyAlignment="1" applyProtection="1">
      <alignment horizontal="center" vertical="center" wrapText="1"/>
      <protection hidden="1"/>
    </xf>
    <xf numFmtId="164" fontId="1" fillId="3" borderId="15" xfId="0" applyNumberFormat="1" applyFont="1" applyFill="1" applyBorder="1" applyAlignment="1" applyProtection="1">
      <alignment horizontal="center"/>
      <protection locked="0" hidden="1"/>
    </xf>
    <xf numFmtId="9" fontId="1" fillId="4" borderId="15" xfId="2" applyFont="1" applyFill="1" applyBorder="1" applyAlignment="1" applyProtection="1">
      <alignment horizontal="center"/>
      <protection locked="0" hidden="1"/>
    </xf>
    <xf numFmtId="44" fontId="3" fillId="6" borderId="19" xfId="0" applyNumberFormat="1" applyFont="1" applyFill="1" applyBorder="1" applyProtection="1">
      <protection hidden="1"/>
    </xf>
    <xf numFmtId="164" fontId="1" fillId="3" borderId="16" xfId="0" applyNumberFormat="1" applyFont="1" applyFill="1" applyBorder="1" applyAlignment="1" applyProtection="1">
      <alignment horizontal="center"/>
      <protection locked="0" hidden="1"/>
    </xf>
    <xf numFmtId="9" fontId="1" fillId="4" borderId="16" xfId="2" applyFont="1" applyFill="1" applyBorder="1" applyAlignment="1" applyProtection="1">
      <alignment horizontal="center"/>
      <protection locked="0" hidden="1"/>
    </xf>
    <xf numFmtId="44" fontId="3" fillId="6" borderId="21" xfId="0" applyNumberFormat="1" applyFont="1" applyFill="1" applyBorder="1" applyProtection="1">
      <protection hidden="1"/>
    </xf>
    <xf numFmtId="164" fontId="1" fillId="3" borderId="17" xfId="0" applyNumberFormat="1" applyFont="1" applyFill="1" applyBorder="1" applyAlignment="1" applyProtection="1">
      <alignment horizontal="center"/>
      <protection locked="0" hidden="1"/>
    </xf>
    <xf numFmtId="9" fontId="1" fillId="4" borderId="17" xfId="2" applyFont="1" applyFill="1" applyBorder="1" applyAlignment="1" applyProtection="1">
      <alignment horizontal="center"/>
      <protection locked="0" hidden="1"/>
    </xf>
    <xf numFmtId="44" fontId="3" fillId="6" borderId="23" xfId="0" applyNumberFormat="1" applyFont="1" applyFill="1" applyBorder="1" applyProtection="1">
      <protection hidden="1"/>
    </xf>
    <xf numFmtId="0" fontId="30" fillId="6" borderId="31" xfId="0" applyFont="1" applyFill="1" applyBorder="1" applyAlignment="1" applyProtection="1">
      <alignment horizontal="center"/>
      <protection hidden="1"/>
    </xf>
    <xf numFmtId="0" fontId="1" fillId="6" borderId="15" xfId="0" applyFont="1" applyFill="1" applyBorder="1" applyProtection="1">
      <protection locked="0" hidden="1"/>
    </xf>
    <xf numFmtId="0" fontId="3" fillId="0" borderId="8" xfId="0" applyFont="1" applyBorder="1" applyAlignment="1" applyProtection="1">
      <alignment horizontal="center" vertical="center" wrapText="1"/>
      <protection hidden="1"/>
    </xf>
    <xf numFmtId="44" fontId="1" fillId="6" borderId="0" xfId="0" applyNumberFormat="1" applyFont="1" applyFill="1" applyBorder="1" applyProtection="1">
      <protection hidden="1"/>
    </xf>
    <xf numFmtId="44" fontId="4" fillId="0" borderId="0" xfId="0" applyNumberFormat="1" applyFont="1" applyBorder="1" applyAlignment="1" applyProtection="1">
      <alignment horizontal="right"/>
      <protection hidden="1"/>
    </xf>
    <xf numFmtId="0" fontId="6" fillId="0" borderId="0" xfId="0" applyFont="1" applyFill="1" applyBorder="1" applyAlignment="1" applyProtection="1">
      <protection hidden="1"/>
    </xf>
    <xf numFmtId="0" fontId="3" fillId="0" borderId="0" xfId="0" applyFont="1" applyBorder="1" applyAlignment="1" applyProtection="1">
      <protection hidden="1"/>
    </xf>
    <xf numFmtId="0" fontId="23" fillId="6" borderId="0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Protection="1">
      <protection hidden="1"/>
    </xf>
    <xf numFmtId="0" fontId="6" fillId="6" borderId="0" xfId="0" applyFont="1" applyFill="1" applyBorder="1" applyProtection="1">
      <protection hidden="1"/>
    </xf>
    <xf numFmtId="0" fontId="50" fillId="0" borderId="0" xfId="0" applyFont="1" applyProtection="1">
      <protection hidden="1"/>
    </xf>
    <xf numFmtId="0" fontId="16" fillId="0" borderId="0" xfId="0" applyFont="1" applyFill="1" applyProtection="1">
      <protection hidden="1"/>
    </xf>
    <xf numFmtId="0" fontId="47" fillId="0" borderId="0" xfId="0" applyFont="1" applyProtection="1">
      <protection hidden="1"/>
    </xf>
    <xf numFmtId="0" fontId="16" fillId="0" borderId="4" xfId="0" applyFont="1" applyBorder="1" applyProtection="1">
      <protection hidden="1"/>
    </xf>
    <xf numFmtId="0" fontId="16" fillId="0" borderId="0" xfId="0" applyFont="1" applyFill="1" applyAlignment="1" applyProtection="1">
      <alignment horizontal="center"/>
      <protection hidden="1"/>
    </xf>
    <xf numFmtId="0" fontId="48" fillId="0" borderId="0" xfId="0" applyFont="1" applyProtection="1">
      <protection hidden="1"/>
    </xf>
    <xf numFmtId="164" fontId="1" fillId="0" borderId="0" xfId="0" applyNumberFormat="1" applyFont="1" applyFill="1" applyBorder="1" applyAlignment="1" applyProtection="1">
      <alignment horizontal="center"/>
      <protection hidden="1"/>
    </xf>
    <xf numFmtId="0" fontId="16" fillId="0" borderId="0" xfId="0" applyFont="1" applyBorder="1" applyProtection="1">
      <protection hidden="1"/>
    </xf>
    <xf numFmtId="0" fontId="16" fillId="0" borderId="0" xfId="0" applyFont="1" applyFill="1" applyBorder="1" applyAlignment="1" applyProtection="1">
      <alignment horizontal="center"/>
      <protection hidden="1"/>
    </xf>
    <xf numFmtId="0" fontId="16" fillId="0" borderId="0" xfId="0" applyFont="1" applyFill="1" applyBorder="1" applyProtection="1">
      <protection hidden="1"/>
    </xf>
    <xf numFmtId="0" fontId="16" fillId="0" borderId="1" xfId="0" applyFont="1" applyBorder="1" applyProtection="1">
      <protection hidden="1"/>
    </xf>
    <xf numFmtId="0" fontId="16" fillId="0" borderId="1" xfId="0" applyFont="1" applyFill="1" applyBorder="1" applyAlignment="1" applyProtection="1">
      <alignment horizontal="center"/>
      <protection hidden="1"/>
    </xf>
    <xf numFmtId="0" fontId="16" fillId="0" borderId="1" xfId="0" applyFont="1" applyFill="1" applyBorder="1" applyProtection="1">
      <protection hidden="1"/>
    </xf>
    <xf numFmtId="0" fontId="16" fillId="0" borderId="10" xfId="0" applyFont="1" applyBorder="1" applyProtection="1">
      <protection hidden="1"/>
    </xf>
    <xf numFmtId="0" fontId="16" fillId="0" borderId="10" xfId="0" applyFont="1" applyFill="1" applyBorder="1" applyAlignment="1" applyProtection="1">
      <alignment horizontal="center"/>
      <protection hidden="1"/>
    </xf>
    <xf numFmtId="0" fontId="16" fillId="0" borderId="10" xfId="0" applyFont="1" applyFill="1" applyBorder="1" applyProtection="1">
      <protection hidden="1"/>
    </xf>
    <xf numFmtId="0" fontId="16" fillId="0" borderId="2" xfId="0" applyFont="1" applyBorder="1" applyProtection="1">
      <protection hidden="1"/>
    </xf>
    <xf numFmtId="44" fontId="1" fillId="0" borderId="35" xfId="0" applyNumberFormat="1" applyFont="1" applyBorder="1" applyProtection="1">
      <protection hidden="1"/>
    </xf>
    <xf numFmtId="44" fontId="3" fillId="6" borderId="34" xfId="0" applyNumberFormat="1" applyFont="1" applyFill="1" applyBorder="1" applyProtection="1">
      <protection hidden="1"/>
    </xf>
    <xf numFmtId="44" fontId="3" fillId="0" borderId="34" xfId="0" applyNumberFormat="1" applyFont="1" applyBorder="1" applyProtection="1">
      <protection hidden="1"/>
    </xf>
    <xf numFmtId="0" fontId="51" fillId="0" borderId="0" xfId="0" applyFont="1" applyFill="1" applyBorder="1" applyAlignment="1" applyProtection="1">
      <alignment horizontal="center"/>
      <protection hidden="1"/>
    </xf>
    <xf numFmtId="0" fontId="50" fillId="0" borderId="2" xfId="0" applyFont="1" applyBorder="1" applyProtection="1">
      <protection hidden="1"/>
    </xf>
    <xf numFmtId="0" fontId="16" fillId="11" borderId="10" xfId="0" applyFont="1" applyFill="1" applyBorder="1" applyAlignment="1" applyProtection="1">
      <alignment horizontal="center"/>
      <protection hidden="1"/>
    </xf>
    <xf numFmtId="0" fontId="16" fillId="0" borderId="14" xfId="0" applyFont="1" applyBorder="1" applyProtection="1">
      <protection hidden="1"/>
    </xf>
    <xf numFmtId="0" fontId="16" fillId="0" borderId="18" xfId="0" applyFont="1" applyBorder="1" applyProtection="1">
      <protection hidden="1"/>
    </xf>
    <xf numFmtId="0" fontId="16" fillId="0" borderId="11" xfId="0" applyFont="1" applyBorder="1" applyProtection="1">
      <protection hidden="1"/>
    </xf>
    <xf numFmtId="0" fontId="51" fillId="2" borderId="5" xfId="0" applyFont="1" applyFill="1" applyBorder="1" applyAlignment="1" applyProtection="1">
      <alignment horizontal="center" vertical="center"/>
      <protection hidden="1"/>
    </xf>
    <xf numFmtId="0" fontId="16" fillId="3" borderId="4" xfId="0" applyFont="1" applyFill="1" applyBorder="1" applyProtection="1">
      <protection hidden="1"/>
    </xf>
    <xf numFmtId="0" fontId="16" fillId="0" borderId="13" xfId="0" applyFont="1" applyBorder="1" applyProtection="1">
      <protection hidden="1"/>
    </xf>
    <xf numFmtId="0" fontId="16" fillId="6" borderId="10" xfId="0" applyFont="1" applyFill="1" applyBorder="1" applyProtection="1">
      <protection hidden="1"/>
    </xf>
    <xf numFmtId="0" fontId="16" fillId="6" borderId="0" xfId="0" applyFont="1" applyFill="1" applyBorder="1" applyProtection="1">
      <protection hidden="1"/>
    </xf>
    <xf numFmtId="10" fontId="1" fillId="0" borderId="2" xfId="0" applyNumberFormat="1" applyFont="1" applyBorder="1" applyAlignment="1" applyProtection="1">
      <alignment horizontal="center"/>
      <protection hidden="1"/>
    </xf>
    <xf numFmtId="10" fontId="1" fillId="3" borderId="20" xfId="0" applyNumberFormat="1" applyFont="1" applyFill="1" applyBorder="1" applyAlignment="1" applyProtection="1">
      <alignment horizontal="center"/>
      <protection locked="0" hidden="1"/>
    </xf>
    <xf numFmtId="10" fontId="1" fillId="3" borderId="22" xfId="0" applyNumberFormat="1" applyFont="1" applyFill="1" applyBorder="1" applyAlignment="1" applyProtection="1">
      <alignment horizontal="center"/>
      <protection locked="0" hidden="1"/>
    </xf>
    <xf numFmtId="10" fontId="1" fillId="0" borderId="16" xfId="0" applyNumberFormat="1" applyFont="1" applyFill="1" applyBorder="1" applyAlignment="1" applyProtection="1">
      <alignment horizontal="center"/>
      <protection hidden="1"/>
    </xf>
    <xf numFmtId="10" fontId="1" fillId="3" borderId="24" xfId="0" applyNumberFormat="1" applyFont="1" applyFill="1" applyBorder="1" applyAlignment="1" applyProtection="1">
      <alignment horizontal="center"/>
      <protection locked="0" hidden="1"/>
    </xf>
    <xf numFmtId="0" fontId="1" fillId="6" borderId="6" xfId="0" applyFont="1" applyFill="1" applyBorder="1" applyProtection="1">
      <protection hidden="1"/>
    </xf>
    <xf numFmtId="0" fontId="23" fillId="2" borderId="8" xfId="0" applyFont="1" applyFill="1" applyBorder="1" applyAlignment="1" applyProtection="1">
      <alignment horizontal="center" wrapText="1"/>
      <protection hidden="1"/>
    </xf>
    <xf numFmtId="164" fontId="1" fillId="0" borderId="0" xfId="0" applyNumberFormat="1" applyFont="1" applyFill="1" applyBorder="1" applyAlignment="1" applyProtection="1">
      <alignment horizontal="center"/>
      <protection hidden="1"/>
    </xf>
    <xf numFmtId="44" fontId="1" fillId="0" borderId="0" xfId="0" applyNumberFormat="1" applyFont="1" applyFill="1" applyAlignment="1" applyProtection="1">
      <alignment horizontal="center"/>
      <protection hidden="1"/>
    </xf>
    <xf numFmtId="44" fontId="1" fillId="0" borderId="2" xfId="0" applyNumberFormat="1" applyFont="1" applyFill="1" applyBorder="1" applyProtection="1">
      <protection hidden="1"/>
    </xf>
    <xf numFmtId="0" fontId="3" fillId="0" borderId="5" xfId="0" applyFont="1" applyFill="1" applyBorder="1" applyAlignment="1" applyProtection="1">
      <alignment horizontal="center" wrapText="1"/>
      <protection hidden="1"/>
    </xf>
    <xf numFmtId="0" fontId="1" fillId="4" borderId="129" xfId="0" applyFont="1" applyFill="1" applyBorder="1" applyAlignment="1" applyProtection="1">
      <alignment horizontal="left" wrapText="1"/>
      <protection locked="0" hidden="1"/>
    </xf>
    <xf numFmtId="0" fontId="1" fillId="4" borderId="21" xfId="0" applyFont="1" applyFill="1" applyBorder="1" applyAlignment="1" applyProtection="1">
      <alignment horizontal="left" wrapText="1"/>
      <protection locked="0" hidden="1"/>
    </xf>
    <xf numFmtId="44" fontId="4" fillId="0" borderId="2" xfId="0" applyNumberFormat="1" applyFont="1" applyFill="1" applyBorder="1" applyAlignment="1" applyProtection="1">
      <alignment horizontal="center"/>
      <protection hidden="1"/>
    </xf>
    <xf numFmtId="44" fontId="4" fillId="0" borderId="0" xfId="0" applyNumberFormat="1" applyFont="1" applyFill="1" applyAlignment="1" applyProtection="1">
      <alignment horizontal="center"/>
      <protection hidden="1"/>
    </xf>
    <xf numFmtId="44" fontId="19" fillId="0" borderId="2" xfId="0" applyNumberFormat="1" applyFont="1" applyFill="1" applyBorder="1" applyAlignment="1" applyProtection="1">
      <alignment horizontal="center"/>
      <protection hidden="1"/>
    </xf>
    <xf numFmtId="44" fontId="4" fillId="0" borderId="2" xfId="0" applyNumberFormat="1" applyFont="1" applyFill="1" applyBorder="1" applyProtection="1">
      <protection hidden="1"/>
    </xf>
    <xf numFmtId="44" fontId="4" fillId="0" borderId="0" xfId="0" applyNumberFormat="1" applyFont="1" applyFill="1" applyProtection="1">
      <protection hidden="1"/>
    </xf>
    <xf numFmtId="44" fontId="19" fillId="0" borderId="2" xfId="0" applyNumberFormat="1" applyFont="1" applyFill="1" applyBorder="1" applyProtection="1">
      <protection hidden="1"/>
    </xf>
    <xf numFmtId="44" fontId="19" fillId="0" borderId="0" xfId="0" applyNumberFormat="1" applyFont="1" applyFill="1" applyBorder="1" applyProtection="1">
      <protection hidden="1"/>
    </xf>
    <xf numFmtId="164" fontId="20" fillId="0" borderId="0" xfId="0" applyNumberFormat="1" applyFont="1" applyFill="1" applyBorder="1" applyAlignment="1" applyProtection="1">
      <alignment horizontal="center"/>
      <protection hidden="1"/>
    </xf>
    <xf numFmtId="0" fontId="1" fillId="0" borderId="2" xfId="0" applyNumberFormat="1" applyFont="1" applyFill="1" applyBorder="1" applyAlignment="1" applyProtection="1">
      <alignment horizontal="left"/>
      <protection hidden="1"/>
    </xf>
    <xf numFmtId="164" fontId="1" fillId="0" borderId="18" xfId="0" applyNumberFormat="1" applyFont="1" applyFill="1" applyBorder="1" applyAlignment="1" applyProtection="1">
      <alignment horizontal="center"/>
      <protection hidden="1"/>
    </xf>
    <xf numFmtId="164" fontId="20" fillId="0" borderId="18" xfId="0" applyNumberFormat="1" applyFont="1" applyFill="1" applyBorder="1" applyAlignment="1" applyProtection="1">
      <alignment horizontal="center"/>
      <protection hidden="1"/>
    </xf>
    <xf numFmtId="0" fontId="1" fillId="0" borderId="3" xfId="0" applyFont="1" applyFill="1" applyBorder="1" applyProtection="1">
      <protection hidden="1"/>
    </xf>
    <xf numFmtId="164" fontId="3" fillId="0" borderId="1" xfId="0" applyNumberFormat="1" applyFont="1" applyFill="1" applyBorder="1" applyAlignment="1" applyProtection="1">
      <alignment horizontal="center"/>
      <protection hidden="1"/>
    </xf>
    <xf numFmtId="164" fontId="3" fillId="0" borderId="11" xfId="0" applyNumberFormat="1" applyFont="1" applyFill="1" applyBorder="1" applyAlignment="1" applyProtection="1">
      <alignment horizontal="center"/>
      <protection hidden="1"/>
    </xf>
    <xf numFmtId="0" fontId="51" fillId="2" borderId="2" xfId="0" applyFont="1" applyFill="1" applyBorder="1" applyAlignment="1" applyProtection="1">
      <alignment horizontal="center"/>
      <protection hidden="1"/>
    </xf>
    <xf numFmtId="0" fontId="51" fillId="2" borderId="0" xfId="0" applyFont="1" applyFill="1" applyBorder="1" applyAlignment="1" applyProtection="1">
      <alignment horizontal="center"/>
      <protection hidden="1"/>
    </xf>
    <xf numFmtId="0" fontId="52" fillId="2" borderId="0" xfId="0" applyFont="1" applyFill="1" applyAlignment="1" applyProtection="1">
      <alignment horizontal="center"/>
      <protection hidden="1"/>
    </xf>
    <xf numFmtId="0" fontId="51" fillId="2" borderId="6" xfId="0" applyFont="1" applyFill="1" applyBorder="1" applyAlignment="1" applyProtection="1">
      <alignment horizontal="center" vertical="center"/>
      <protection hidden="1"/>
    </xf>
    <xf numFmtId="0" fontId="51" fillId="2" borderId="2" xfId="0" applyFont="1" applyFill="1" applyBorder="1" applyAlignment="1" applyProtection="1">
      <alignment horizontal="center" vertical="center"/>
      <protection hidden="1"/>
    </xf>
    <xf numFmtId="0" fontId="51" fillId="2" borderId="3" xfId="0" applyFont="1" applyFill="1" applyBorder="1" applyAlignment="1" applyProtection="1">
      <alignment horizontal="center" vertical="center"/>
      <protection hidden="1"/>
    </xf>
    <xf numFmtId="0" fontId="16" fillId="12" borderId="1" xfId="0" applyFont="1" applyFill="1" applyBorder="1" applyAlignment="1" applyProtection="1">
      <alignment horizontal="center"/>
      <protection hidden="1"/>
    </xf>
    <xf numFmtId="0" fontId="16" fillId="13" borderId="1" xfId="0" applyFont="1" applyFill="1" applyBorder="1" applyAlignment="1" applyProtection="1">
      <alignment horizontal="center"/>
      <protection hidden="1"/>
    </xf>
    <xf numFmtId="0" fontId="16" fillId="15" borderId="1" xfId="0" applyFont="1" applyFill="1" applyBorder="1" applyAlignment="1" applyProtection="1">
      <alignment horizontal="center"/>
      <protection hidden="1"/>
    </xf>
    <xf numFmtId="8" fontId="45" fillId="7" borderId="1" xfId="0" applyNumberFormat="1" applyFont="1" applyFill="1" applyBorder="1" applyAlignment="1" applyProtection="1">
      <alignment horizontal="center"/>
      <protection hidden="1"/>
    </xf>
    <xf numFmtId="8" fontId="45" fillId="7" borderId="51" xfId="0" applyNumberFormat="1" applyFont="1" applyFill="1" applyBorder="1" applyAlignment="1" applyProtection="1">
      <alignment horizontal="center"/>
      <protection hidden="1"/>
    </xf>
    <xf numFmtId="8" fontId="45" fillId="7" borderId="0" xfId="0" applyNumberFormat="1" applyFont="1" applyFill="1" applyBorder="1" applyAlignment="1" applyProtection="1">
      <alignment horizontal="center"/>
      <protection hidden="1"/>
    </xf>
    <xf numFmtId="8" fontId="45" fillId="7" borderId="44" xfId="0" applyNumberFormat="1" applyFont="1" applyFill="1" applyBorder="1" applyAlignment="1" applyProtection="1">
      <alignment horizontal="center"/>
      <protection hidden="1"/>
    </xf>
    <xf numFmtId="8" fontId="45" fillId="7" borderId="3" xfId="0" applyNumberFormat="1" applyFont="1" applyFill="1" applyBorder="1" applyAlignment="1" applyProtection="1">
      <alignment horizontal="center"/>
      <protection hidden="1"/>
    </xf>
    <xf numFmtId="8" fontId="45" fillId="7" borderId="11" xfId="0" applyNumberFormat="1" applyFont="1" applyFill="1" applyBorder="1" applyAlignment="1" applyProtection="1">
      <alignment horizontal="center"/>
      <protection hidden="1"/>
    </xf>
    <xf numFmtId="8" fontId="45" fillId="7" borderId="2" xfId="0" applyNumberFormat="1" applyFont="1" applyFill="1" applyBorder="1" applyAlignment="1" applyProtection="1">
      <alignment horizontal="center"/>
      <protection hidden="1"/>
    </xf>
    <xf numFmtId="8" fontId="45" fillId="7" borderId="18" xfId="0" applyNumberFormat="1" applyFont="1" applyFill="1" applyBorder="1" applyAlignment="1" applyProtection="1">
      <alignment horizontal="center"/>
      <protection hidden="1"/>
    </xf>
    <xf numFmtId="8" fontId="43" fillId="5" borderId="96" xfId="0" applyNumberFormat="1" applyFont="1" applyFill="1" applyBorder="1" applyAlignment="1" applyProtection="1">
      <alignment horizontal="center"/>
      <protection hidden="1"/>
    </xf>
    <xf numFmtId="8" fontId="43" fillId="5" borderId="117" xfId="0" applyNumberFormat="1" applyFont="1" applyFill="1" applyBorder="1" applyAlignment="1" applyProtection="1">
      <alignment horizontal="center"/>
      <protection hidden="1"/>
    </xf>
    <xf numFmtId="8" fontId="43" fillId="5" borderId="97" xfId="0" applyNumberFormat="1" applyFont="1" applyFill="1" applyBorder="1" applyAlignment="1" applyProtection="1">
      <alignment horizontal="center"/>
      <protection hidden="1"/>
    </xf>
    <xf numFmtId="8" fontId="43" fillId="5" borderId="98" xfId="0" applyNumberFormat="1" applyFont="1" applyFill="1" applyBorder="1" applyAlignment="1" applyProtection="1">
      <alignment horizontal="center"/>
      <protection hidden="1"/>
    </xf>
    <xf numFmtId="8" fontId="43" fillId="5" borderId="95" xfId="0" applyNumberFormat="1" applyFont="1" applyFill="1" applyBorder="1" applyAlignment="1" applyProtection="1">
      <alignment horizontal="center"/>
      <protection hidden="1"/>
    </xf>
    <xf numFmtId="8" fontId="43" fillId="5" borderId="100" xfId="0" applyNumberFormat="1" applyFont="1" applyFill="1" applyBorder="1" applyAlignment="1" applyProtection="1">
      <alignment horizontal="center"/>
      <protection hidden="1"/>
    </xf>
    <xf numFmtId="8" fontId="43" fillId="5" borderId="101" xfId="0" applyNumberFormat="1" applyFont="1" applyFill="1" applyBorder="1" applyAlignment="1" applyProtection="1">
      <alignment horizontal="center"/>
      <protection hidden="1"/>
    </xf>
    <xf numFmtId="8" fontId="43" fillId="5" borderId="105" xfId="0" applyNumberFormat="1" applyFont="1" applyFill="1" applyBorder="1" applyAlignment="1" applyProtection="1">
      <alignment horizontal="center"/>
      <protection hidden="1"/>
    </xf>
    <xf numFmtId="8" fontId="43" fillId="5" borderId="106" xfId="0" applyNumberFormat="1" applyFont="1" applyFill="1" applyBorder="1" applyAlignment="1" applyProtection="1">
      <alignment horizontal="center"/>
      <protection hidden="1"/>
    </xf>
    <xf numFmtId="8" fontId="43" fillId="5" borderId="107" xfId="0" applyNumberFormat="1" applyFont="1" applyFill="1" applyBorder="1" applyAlignment="1" applyProtection="1">
      <alignment horizontal="center"/>
      <protection hidden="1"/>
    </xf>
    <xf numFmtId="8" fontId="43" fillId="5" borderId="108" xfId="0" applyNumberFormat="1" applyFont="1" applyFill="1" applyBorder="1" applyAlignment="1" applyProtection="1">
      <alignment horizontal="center"/>
      <protection hidden="1"/>
    </xf>
    <xf numFmtId="8" fontId="43" fillId="5" borderId="102" xfId="0" applyNumberFormat="1" applyFont="1" applyFill="1" applyBorder="1" applyAlignment="1" applyProtection="1">
      <alignment horizontal="center"/>
      <protection hidden="1"/>
    </xf>
    <xf numFmtId="8" fontId="43" fillId="5" borderId="103" xfId="0" applyNumberFormat="1" applyFont="1" applyFill="1" applyBorder="1" applyAlignment="1" applyProtection="1">
      <alignment horizontal="center"/>
      <protection hidden="1"/>
    </xf>
    <xf numFmtId="8" fontId="43" fillId="5" borderId="119" xfId="0" applyNumberFormat="1" applyFont="1" applyFill="1" applyBorder="1" applyAlignment="1" applyProtection="1">
      <alignment horizontal="center"/>
      <protection hidden="1"/>
    </xf>
    <xf numFmtId="8" fontId="43" fillId="5" borderId="121" xfId="0" applyNumberFormat="1" applyFont="1" applyFill="1" applyBorder="1" applyAlignment="1" applyProtection="1">
      <alignment horizontal="center"/>
      <protection hidden="1"/>
    </xf>
    <xf numFmtId="8" fontId="43" fillId="5" borderId="85" xfId="0" applyNumberFormat="1" applyFont="1" applyFill="1" applyBorder="1" applyAlignment="1" applyProtection="1">
      <alignment horizontal="center"/>
      <protection hidden="1"/>
    </xf>
    <xf numFmtId="8" fontId="43" fillId="5" borderId="86" xfId="0" applyNumberFormat="1" applyFont="1" applyFill="1" applyBorder="1" applyAlignment="1" applyProtection="1">
      <alignment horizontal="center"/>
      <protection hidden="1"/>
    </xf>
    <xf numFmtId="8" fontId="43" fillId="5" borderId="87" xfId="0" applyNumberFormat="1" applyFont="1" applyFill="1" applyBorder="1" applyAlignment="1" applyProtection="1">
      <alignment horizontal="center"/>
      <protection hidden="1"/>
    </xf>
    <xf numFmtId="8" fontId="43" fillId="5" borderId="88" xfId="0" applyNumberFormat="1" applyFont="1" applyFill="1" applyBorder="1" applyAlignment="1" applyProtection="1">
      <alignment horizontal="center"/>
      <protection hidden="1"/>
    </xf>
    <xf numFmtId="8" fontId="43" fillId="5" borderId="113" xfId="0" applyNumberFormat="1" applyFont="1" applyFill="1" applyBorder="1" applyAlignment="1" applyProtection="1">
      <alignment horizontal="center"/>
      <protection hidden="1"/>
    </xf>
    <xf numFmtId="8" fontId="43" fillId="5" borderId="90" xfId="0" applyNumberFormat="1" applyFont="1" applyFill="1" applyBorder="1" applyAlignment="1" applyProtection="1">
      <alignment horizontal="center"/>
      <protection hidden="1"/>
    </xf>
    <xf numFmtId="8" fontId="43" fillId="5" borderId="91" xfId="0" applyNumberFormat="1" applyFont="1" applyFill="1" applyBorder="1" applyAlignment="1" applyProtection="1">
      <alignment horizontal="center"/>
      <protection hidden="1"/>
    </xf>
    <xf numFmtId="8" fontId="43" fillId="5" borderId="92" xfId="0" applyNumberFormat="1" applyFont="1" applyFill="1" applyBorder="1" applyAlignment="1" applyProtection="1">
      <alignment horizontal="center"/>
      <protection hidden="1"/>
    </xf>
    <xf numFmtId="8" fontId="43" fillId="5" borderId="93" xfId="0" applyNumberFormat="1" applyFont="1" applyFill="1" applyBorder="1" applyAlignment="1" applyProtection="1">
      <alignment horizontal="center"/>
      <protection hidden="1"/>
    </xf>
    <xf numFmtId="8" fontId="43" fillId="5" borderId="115" xfId="0" applyNumberFormat="1" applyFont="1" applyFill="1" applyBorder="1" applyAlignment="1" applyProtection="1">
      <alignment horizontal="center"/>
      <protection hidden="1"/>
    </xf>
    <xf numFmtId="0" fontId="45" fillId="5" borderId="0" xfId="0" applyFont="1" applyFill="1" applyBorder="1" applyAlignment="1" applyProtection="1">
      <alignment horizontal="center"/>
      <protection hidden="1"/>
    </xf>
    <xf numFmtId="0" fontId="26" fillId="2" borderId="0" xfId="0" applyFont="1" applyFill="1" applyBorder="1" applyAlignment="1" applyProtection="1">
      <alignment horizontal="center"/>
      <protection hidden="1"/>
    </xf>
    <xf numFmtId="0" fontId="45" fillId="5" borderId="44" xfId="0" applyFont="1" applyFill="1" applyBorder="1" applyAlignment="1" applyProtection="1">
      <alignment horizontal="center"/>
      <protection hidden="1"/>
    </xf>
    <xf numFmtId="8" fontId="43" fillId="5" borderId="80" xfId="0" applyNumberFormat="1" applyFont="1" applyFill="1" applyBorder="1" applyAlignment="1" applyProtection="1">
      <alignment horizontal="center"/>
      <protection hidden="1"/>
    </xf>
    <xf numFmtId="8" fontId="43" fillId="5" borderId="81" xfId="0" applyNumberFormat="1" applyFont="1" applyFill="1" applyBorder="1" applyAlignment="1" applyProtection="1">
      <alignment horizontal="center"/>
      <protection hidden="1"/>
    </xf>
    <xf numFmtId="8" fontId="43" fillId="5" borderId="82" xfId="0" applyNumberFormat="1" applyFont="1" applyFill="1" applyBorder="1" applyAlignment="1" applyProtection="1">
      <alignment horizontal="center"/>
      <protection hidden="1"/>
    </xf>
    <xf numFmtId="8" fontId="43" fillId="5" borderId="83" xfId="0" applyNumberFormat="1" applyFont="1" applyFill="1" applyBorder="1" applyAlignment="1" applyProtection="1">
      <alignment horizontal="center"/>
      <protection hidden="1"/>
    </xf>
    <xf numFmtId="8" fontId="43" fillId="5" borderId="111" xfId="0" applyNumberFormat="1" applyFont="1" applyFill="1" applyBorder="1" applyAlignment="1" applyProtection="1">
      <alignment horizontal="center"/>
      <protection hidden="1"/>
    </xf>
    <xf numFmtId="0" fontId="21" fillId="13" borderId="43" xfId="0" applyFont="1" applyFill="1" applyBorder="1" applyAlignment="1" applyProtection="1">
      <alignment horizontal="center" wrapText="1"/>
      <protection hidden="1"/>
    </xf>
    <xf numFmtId="0" fontId="21" fillId="13" borderId="0" xfId="0" applyFont="1" applyFill="1" applyBorder="1" applyAlignment="1" applyProtection="1">
      <alignment horizontal="center" wrapText="1"/>
      <protection hidden="1"/>
    </xf>
    <xf numFmtId="8" fontId="21" fillId="13" borderId="0" xfId="0" applyNumberFormat="1" applyFont="1" applyFill="1" applyBorder="1" applyAlignment="1" applyProtection="1">
      <alignment horizontal="center" vertical="center"/>
      <protection hidden="1"/>
    </xf>
    <xf numFmtId="0" fontId="21" fillId="13" borderId="0" xfId="0" applyFont="1" applyFill="1" applyBorder="1" applyAlignment="1" applyProtection="1">
      <alignment horizontal="center" vertical="center"/>
      <protection hidden="1"/>
    </xf>
    <xf numFmtId="0" fontId="3" fillId="12" borderId="0" xfId="0" applyFont="1" applyFill="1" applyBorder="1" applyAlignment="1" applyProtection="1">
      <alignment horizontal="left" vertical="center" wrapText="1"/>
      <protection hidden="1"/>
    </xf>
    <xf numFmtId="0" fontId="1" fillId="12" borderId="0" xfId="0" applyFont="1" applyFill="1" applyBorder="1" applyAlignment="1" applyProtection="1">
      <alignment horizontal="left" vertical="center" wrapText="1"/>
      <protection hidden="1"/>
    </xf>
    <xf numFmtId="0" fontId="3" fillId="12" borderId="2" xfId="0" applyFont="1" applyFill="1" applyBorder="1" applyAlignment="1" applyProtection="1">
      <alignment horizontal="center"/>
      <protection hidden="1"/>
    </xf>
    <xf numFmtId="0" fontId="3" fillId="12" borderId="0" xfId="0" applyFont="1" applyFill="1" applyBorder="1" applyAlignment="1" applyProtection="1">
      <alignment horizontal="center"/>
      <protection hidden="1"/>
    </xf>
    <xf numFmtId="0" fontId="3" fillId="12" borderId="43" xfId="0" applyFont="1" applyFill="1" applyBorder="1" applyAlignment="1" applyProtection="1">
      <alignment horizontal="center"/>
      <protection hidden="1"/>
    </xf>
    <xf numFmtId="0" fontId="3" fillId="13" borderId="0" xfId="0" applyFont="1" applyFill="1" applyBorder="1" applyAlignment="1" applyProtection="1">
      <alignment horizontal="center"/>
      <protection hidden="1"/>
    </xf>
    <xf numFmtId="0" fontId="23" fillId="2" borderId="79" xfId="0" applyFont="1" applyFill="1" applyBorder="1" applyAlignment="1" applyProtection="1">
      <alignment horizontal="center"/>
      <protection hidden="1"/>
    </xf>
    <xf numFmtId="0" fontId="23" fillId="2" borderId="1" xfId="0" applyFont="1" applyFill="1" applyBorder="1" applyAlignment="1" applyProtection="1">
      <alignment horizontal="center"/>
      <protection hidden="1"/>
    </xf>
    <xf numFmtId="0" fontId="23" fillId="2" borderId="51" xfId="0" applyFont="1" applyFill="1" applyBorder="1" applyAlignment="1" applyProtection="1">
      <alignment horizontal="center"/>
      <protection hidden="1"/>
    </xf>
    <xf numFmtId="0" fontId="1" fillId="12" borderId="4" xfId="0" applyFont="1" applyFill="1" applyBorder="1" applyAlignment="1" applyProtection="1">
      <alignment horizontal="center"/>
      <protection hidden="1"/>
    </xf>
    <xf numFmtId="0" fontId="39" fillId="3" borderId="26" xfId="0" applyFont="1" applyFill="1" applyBorder="1" applyAlignment="1" applyProtection="1">
      <alignment horizontal="center" vertical="center"/>
      <protection locked="0"/>
    </xf>
    <xf numFmtId="0" fontId="39" fillId="3" borderId="27" xfId="0" applyFont="1" applyFill="1" applyBorder="1" applyAlignment="1" applyProtection="1">
      <alignment horizontal="center" vertical="center"/>
      <protection locked="0"/>
    </xf>
    <xf numFmtId="0" fontId="39" fillId="3" borderId="42" xfId="0" applyFont="1" applyFill="1" applyBorder="1" applyAlignment="1" applyProtection="1">
      <alignment horizontal="center" vertical="center"/>
      <protection locked="0"/>
    </xf>
    <xf numFmtId="0" fontId="39" fillId="3" borderId="43" xfId="0" applyFont="1" applyFill="1" applyBorder="1" applyAlignment="1" applyProtection="1">
      <alignment horizontal="center" vertical="center"/>
      <protection locked="0"/>
    </xf>
    <xf numFmtId="0" fontId="39" fillId="3" borderId="0" xfId="0" applyFont="1" applyFill="1" applyBorder="1" applyAlignment="1" applyProtection="1">
      <alignment horizontal="center" vertical="center"/>
      <protection locked="0"/>
    </xf>
    <xf numFmtId="0" fontId="39" fillId="3" borderId="44" xfId="0" applyFont="1" applyFill="1" applyBorder="1" applyAlignment="1" applyProtection="1">
      <alignment horizontal="center" vertical="center"/>
      <protection locked="0"/>
    </xf>
    <xf numFmtId="0" fontId="1" fillId="12" borderId="5" xfId="0" applyFont="1" applyFill="1" applyBorder="1" applyAlignment="1" applyProtection="1">
      <alignment horizontal="center"/>
      <protection hidden="1"/>
    </xf>
    <xf numFmtId="0" fontId="1" fillId="6" borderId="17" xfId="0" applyFont="1" applyFill="1" applyBorder="1" applyAlignment="1" applyProtection="1">
      <alignment horizontal="left"/>
      <protection locked="0" hidden="1"/>
    </xf>
    <xf numFmtId="0" fontId="40" fillId="5" borderId="0" xfId="0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Border="1" applyAlignment="1" applyProtection="1">
      <alignment horizontal="center" vertical="center"/>
      <protection hidden="1"/>
    </xf>
    <xf numFmtId="0" fontId="25" fillId="2" borderId="1" xfId="0" applyFont="1" applyFill="1" applyBorder="1" applyAlignment="1" applyProtection="1">
      <alignment horizontal="center" vertical="center"/>
      <protection hidden="1"/>
    </xf>
    <xf numFmtId="0" fontId="1" fillId="6" borderId="16" xfId="0" applyFont="1" applyFill="1" applyBorder="1" applyAlignment="1" applyProtection="1">
      <alignment horizontal="left"/>
      <protection locked="0" hidden="1"/>
    </xf>
    <xf numFmtId="0" fontId="3" fillId="0" borderId="0" xfId="0" applyFont="1" applyFill="1" applyAlignment="1" applyProtection="1">
      <alignment horizontal="center"/>
      <protection hidden="1"/>
    </xf>
    <xf numFmtId="0" fontId="1" fillId="6" borderId="15" xfId="0" applyFont="1" applyFill="1" applyBorder="1" applyAlignment="1" applyProtection="1">
      <alignment horizontal="left"/>
      <protection locked="0" hidden="1"/>
    </xf>
    <xf numFmtId="0" fontId="30" fillId="5" borderId="0" xfId="0" applyFont="1" applyFill="1" applyBorder="1" applyAlignment="1" applyProtection="1">
      <alignment horizontal="center"/>
      <protection hidden="1"/>
    </xf>
    <xf numFmtId="0" fontId="39" fillId="5" borderId="0" xfId="0" applyFont="1" applyFill="1" applyBorder="1" applyAlignment="1" applyProtection="1">
      <alignment horizontal="center"/>
      <protection hidden="1"/>
    </xf>
    <xf numFmtId="0" fontId="3" fillId="12" borderId="26" xfId="0" applyFont="1" applyFill="1" applyBorder="1" applyAlignment="1" applyProtection="1">
      <alignment horizontal="left" vertical="center" wrapText="1"/>
      <protection hidden="1"/>
    </xf>
    <xf numFmtId="0" fontId="3" fillId="12" borderId="32" xfId="0" applyFont="1" applyFill="1" applyBorder="1" applyAlignment="1" applyProtection="1">
      <alignment horizontal="left" vertical="center" wrapText="1"/>
      <protection hidden="1"/>
    </xf>
    <xf numFmtId="0" fontId="1" fillId="0" borderId="10" xfId="0" applyFont="1" applyFill="1" applyBorder="1" applyAlignment="1" applyProtection="1">
      <alignment horizontal="center" vertical="center"/>
      <protection hidden="1"/>
    </xf>
    <xf numFmtId="0" fontId="1" fillId="0" borderId="1" xfId="0" applyFont="1" applyFill="1" applyBorder="1" applyAlignment="1" applyProtection="1">
      <alignment horizontal="center" vertical="center"/>
      <protection hidden="1"/>
    </xf>
    <xf numFmtId="44" fontId="3" fillId="6" borderId="10" xfId="0" applyNumberFormat="1" applyFont="1" applyFill="1" applyBorder="1" applyAlignment="1" applyProtection="1">
      <alignment horizontal="center" vertical="center"/>
      <protection hidden="1"/>
    </xf>
    <xf numFmtId="44" fontId="3" fillId="6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Border="1" applyAlignment="1" applyProtection="1">
      <alignment horizontal="center" vertical="center"/>
      <protection hidden="1"/>
    </xf>
    <xf numFmtId="44" fontId="9" fillId="12" borderId="10" xfId="0" applyNumberFormat="1" applyFont="1" applyFill="1" applyBorder="1" applyAlignment="1" applyProtection="1">
      <alignment horizontal="center" vertical="center"/>
      <protection hidden="1"/>
    </xf>
    <xf numFmtId="44" fontId="9" fillId="12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10" xfId="0" applyFont="1" applyBorder="1" applyAlignment="1" applyProtection="1">
      <alignment horizontal="center" vertical="center"/>
      <protection hidden="1"/>
    </xf>
    <xf numFmtId="0" fontId="1" fillId="0" borderId="0" xfId="0" applyFont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center" vertical="center"/>
      <protection hidden="1"/>
    </xf>
    <xf numFmtId="0" fontId="1" fillId="6" borderId="10" xfId="0" applyFont="1" applyFill="1" applyBorder="1" applyAlignment="1" applyProtection="1">
      <alignment horizontal="center" vertical="center"/>
      <protection hidden="1"/>
    </xf>
    <xf numFmtId="0" fontId="1" fillId="6" borderId="0" xfId="0" applyFont="1" applyFill="1" applyBorder="1" applyAlignment="1" applyProtection="1">
      <alignment horizontal="center" vertical="center"/>
      <protection hidden="1"/>
    </xf>
    <xf numFmtId="0" fontId="1" fillId="6" borderId="1" xfId="0" applyFont="1" applyFill="1" applyBorder="1" applyAlignment="1" applyProtection="1">
      <alignment horizontal="center" vertical="center"/>
      <protection hidden="1"/>
    </xf>
    <xf numFmtId="49" fontId="8" fillId="0" borderId="10" xfId="0" applyNumberFormat="1" applyFont="1" applyBorder="1" applyAlignment="1" applyProtection="1">
      <alignment horizontal="center" vertical="center"/>
      <protection hidden="1"/>
    </xf>
    <xf numFmtId="49" fontId="8" fillId="0" borderId="1" xfId="0" applyNumberFormat="1" applyFont="1" applyBorder="1" applyAlignment="1" applyProtection="1">
      <alignment horizontal="center" vertical="center"/>
      <protection hidden="1"/>
    </xf>
    <xf numFmtId="49" fontId="8" fillId="6" borderId="10" xfId="0" applyNumberFormat="1" applyFont="1" applyFill="1" applyBorder="1" applyAlignment="1" applyProtection="1">
      <alignment horizontal="center" vertical="center"/>
      <protection hidden="1"/>
    </xf>
    <xf numFmtId="49" fontId="8" fillId="6" borderId="1" xfId="0" applyNumberFormat="1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 vertical="center"/>
      <protection hidden="1"/>
    </xf>
    <xf numFmtId="44" fontId="9" fillId="12" borderId="2" xfId="0" applyNumberFormat="1" applyFont="1" applyFill="1" applyBorder="1" applyAlignment="1" applyProtection="1">
      <alignment horizontal="center" vertical="center"/>
      <protection hidden="1"/>
    </xf>
    <xf numFmtId="44" fontId="9" fillId="12" borderId="3" xfId="0" applyNumberFormat="1" applyFont="1" applyFill="1" applyBorder="1" applyAlignment="1" applyProtection="1">
      <alignment horizontal="center" vertical="center"/>
      <protection hidden="1"/>
    </xf>
    <xf numFmtId="44" fontId="3" fillId="3" borderId="9" xfId="0" applyNumberFormat="1" applyFont="1" applyFill="1" applyBorder="1" applyAlignment="1" applyProtection="1">
      <alignment horizontal="center" vertical="center"/>
      <protection locked="0" hidden="1"/>
    </xf>
    <xf numFmtId="44" fontId="3" fillId="3" borderId="12" xfId="0" applyNumberFormat="1" applyFont="1" applyFill="1" applyBorder="1" applyAlignment="1" applyProtection="1">
      <alignment horizontal="center" vertical="center"/>
      <protection locked="0" hidden="1"/>
    </xf>
    <xf numFmtId="164" fontId="1" fillId="3" borderId="10" xfId="0" applyNumberFormat="1" applyFont="1" applyFill="1" applyBorder="1" applyAlignment="1" applyProtection="1">
      <alignment horizontal="center" vertical="center"/>
      <protection locked="0" hidden="1"/>
    </xf>
    <xf numFmtId="164" fontId="1" fillId="3" borderId="1" xfId="0" applyNumberFormat="1" applyFont="1" applyFill="1" applyBorder="1" applyAlignment="1" applyProtection="1">
      <alignment horizontal="center" vertical="center"/>
      <protection locked="0" hidden="1"/>
    </xf>
    <xf numFmtId="164" fontId="1" fillId="6" borderId="10" xfId="0" applyNumberFormat="1" applyFont="1" applyFill="1" applyBorder="1" applyAlignment="1" applyProtection="1">
      <alignment horizontal="center" vertical="center"/>
      <protection hidden="1"/>
    </xf>
    <xf numFmtId="164" fontId="1" fillId="6" borderId="1" xfId="0" applyNumberFormat="1" applyFont="1" applyFill="1" applyBorder="1" applyAlignment="1" applyProtection="1">
      <alignment horizontal="center" vertical="center"/>
      <protection hidden="1"/>
    </xf>
    <xf numFmtId="164" fontId="1" fillId="0" borderId="10" xfId="0" applyNumberFormat="1" applyFont="1" applyBorder="1" applyAlignment="1" applyProtection="1">
      <alignment horizontal="center" vertical="center"/>
      <protection hidden="1"/>
    </xf>
    <xf numFmtId="164" fontId="1" fillId="0" borderId="1" xfId="0" applyNumberFormat="1" applyFont="1" applyBorder="1" applyAlignment="1" applyProtection="1">
      <alignment horizontal="center" vertical="center"/>
      <protection hidden="1"/>
    </xf>
    <xf numFmtId="164" fontId="1" fillId="3" borderId="0" xfId="0" applyNumberFormat="1" applyFont="1" applyFill="1" applyBorder="1" applyAlignment="1" applyProtection="1">
      <alignment horizontal="center" vertical="center"/>
      <protection locked="0" hidden="1"/>
    </xf>
    <xf numFmtId="164" fontId="1" fillId="6" borderId="0" xfId="0" applyNumberFormat="1" applyFont="1" applyFill="1" applyBorder="1" applyAlignment="1" applyProtection="1">
      <alignment horizontal="center" vertical="center"/>
      <protection hidden="1"/>
    </xf>
    <xf numFmtId="164" fontId="1" fillId="0" borderId="0" xfId="0" applyNumberFormat="1" applyFont="1" applyBorder="1" applyAlignment="1" applyProtection="1">
      <alignment horizontal="center" vertical="center"/>
      <protection hidden="1"/>
    </xf>
    <xf numFmtId="44" fontId="3" fillId="6" borderId="14" xfId="0" applyNumberFormat="1" applyFont="1" applyFill="1" applyBorder="1" applyAlignment="1" applyProtection="1">
      <alignment horizontal="center" vertical="center"/>
      <protection hidden="1"/>
    </xf>
    <xf numFmtId="44" fontId="3" fillId="6" borderId="11" xfId="0" applyNumberFormat="1" applyFont="1" applyFill="1" applyBorder="1" applyAlignment="1" applyProtection="1">
      <alignment horizontal="center" vertical="center"/>
      <protection hidden="1"/>
    </xf>
    <xf numFmtId="0" fontId="1" fillId="4" borderId="10" xfId="0" applyFont="1" applyFill="1" applyBorder="1" applyAlignment="1" applyProtection="1">
      <alignment horizontal="center" vertical="center"/>
      <protection locked="0" hidden="1"/>
    </xf>
    <xf numFmtId="0" fontId="1" fillId="4" borderId="1" xfId="0" applyFont="1" applyFill="1" applyBorder="1" applyAlignment="1" applyProtection="1">
      <alignment horizontal="center" vertical="center"/>
      <protection locked="0" hidden="1"/>
    </xf>
    <xf numFmtId="164" fontId="1" fillId="6" borderId="9" xfId="0" applyNumberFormat="1" applyFont="1" applyFill="1" applyBorder="1" applyAlignment="1" applyProtection="1">
      <alignment horizontal="center" vertical="center"/>
      <protection hidden="1"/>
    </xf>
    <xf numFmtId="164" fontId="1" fillId="6" borderId="12" xfId="0" applyNumberFormat="1" applyFont="1" applyFill="1" applyBorder="1" applyAlignment="1" applyProtection="1">
      <alignment horizontal="center" vertical="center"/>
      <protection hidden="1"/>
    </xf>
    <xf numFmtId="1" fontId="1" fillId="0" borderId="9" xfId="0" applyNumberFormat="1" applyFont="1" applyBorder="1" applyAlignment="1" applyProtection="1">
      <alignment horizontal="center" vertical="center"/>
      <protection hidden="1"/>
    </xf>
    <xf numFmtId="1" fontId="1" fillId="0" borderId="12" xfId="0" applyNumberFormat="1" applyFont="1" applyBorder="1" applyAlignment="1" applyProtection="1">
      <alignment horizontal="center" vertical="center"/>
      <protection hidden="1"/>
    </xf>
    <xf numFmtId="165" fontId="3" fillId="6" borderId="0" xfId="0" applyNumberFormat="1" applyFont="1" applyFill="1" applyBorder="1" applyAlignment="1" applyProtection="1">
      <alignment horizontal="center" vertical="center"/>
      <protection hidden="1"/>
    </xf>
    <xf numFmtId="165" fontId="3" fillId="6" borderId="1" xfId="0" applyNumberFormat="1" applyFont="1" applyFill="1" applyBorder="1" applyAlignment="1" applyProtection="1">
      <alignment horizontal="center" vertical="center"/>
      <protection hidden="1"/>
    </xf>
    <xf numFmtId="43" fontId="1" fillId="6" borderId="0" xfId="0" applyNumberFormat="1" applyFont="1" applyFill="1" applyBorder="1" applyAlignment="1" applyProtection="1">
      <alignment horizontal="center" vertical="center"/>
      <protection hidden="1"/>
    </xf>
    <xf numFmtId="43" fontId="1" fillId="6" borderId="1" xfId="0" applyNumberFormat="1" applyFont="1" applyFill="1" applyBorder="1" applyAlignment="1" applyProtection="1">
      <alignment horizontal="center" vertical="center"/>
      <protection hidden="1"/>
    </xf>
    <xf numFmtId="43" fontId="1" fillId="0" borderId="0" xfId="0" applyNumberFormat="1" applyFont="1" applyBorder="1" applyAlignment="1" applyProtection="1">
      <alignment horizontal="center" vertical="center"/>
      <protection hidden="1"/>
    </xf>
    <xf numFmtId="43" fontId="1" fillId="0" borderId="1" xfId="0" applyNumberFormat="1" applyFont="1" applyBorder="1" applyAlignment="1" applyProtection="1">
      <alignment horizontal="center" vertical="center"/>
      <protection hidden="1"/>
    </xf>
    <xf numFmtId="43" fontId="1" fillId="6" borderId="9" xfId="0" applyNumberFormat="1" applyFont="1" applyFill="1" applyBorder="1" applyAlignment="1" applyProtection="1">
      <alignment horizontal="center" vertical="center"/>
      <protection hidden="1"/>
    </xf>
    <xf numFmtId="43" fontId="1" fillId="6" borderId="12" xfId="0" applyNumberFormat="1" applyFont="1" applyFill="1" applyBorder="1" applyAlignment="1" applyProtection="1">
      <alignment horizontal="center" vertical="center"/>
      <protection hidden="1"/>
    </xf>
    <xf numFmtId="164" fontId="1" fillId="6" borderId="18" xfId="0" applyNumberFormat="1" applyFont="1" applyFill="1" applyBorder="1" applyAlignment="1" applyProtection="1">
      <alignment horizontal="center" vertical="center"/>
      <protection hidden="1"/>
    </xf>
    <xf numFmtId="44" fontId="3" fillId="6" borderId="9" xfId="0" applyNumberFormat="1" applyFont="1" applyFill="1" applyBorder="1" applyAlignment="1" applyProtection="1">
      <alignment horizontal="center" vertical="center"/>
      <protection hidden="1"/>
    </xf>
    <xf numFmtId="44" fontId="3" fillId="6" borderId="12" xfId="0" applyNumberFormat="1" applyFont="1" applyFill="1" applyBorder="1" applyAlignment="1" applyProtection="1">
      <alignment horizontal="center" vertical="center"/>
      <protection hidden="1"/>
    </xf>
    <xf numFmtId="164" fontId="1" fillId="3" borderId="18" xfId="0" applyNumberFormat="1" applyFont="1" applyFill="1" applyBorder="1" applyAlignment="1" applyProtection="1">
      <alignment horizontal="center" vertical="center"/>
      <protection locked="0" hidden="1"/>
    </xf>
    <xf numFmtId="164" fontId="1" fillId="3" borderId="11" xfId="0" applyNumberFormat="1" applyFont="1" applyFill="1" applyBorder="1" applyAlignment="1" applyProtection="1">
      <alignment horizontal="center" vertical="center"/>
      <protection locked="0" hidden="1"/>
    </xf>
    <xf numFmtId="0" fontId="1" fillId="0" borderId="14" xfId="0" applyFont="1" applyBorder="1" applyAlignment="1" applyProtection="1">
      <alignment horizontal="center" vertical="center"/>
      <protection hidden="1"/>
    </xf>
    <xf numFmtId="0" fontId="1" fillId="0" borderId="11" xfId="0" applyFont="1" applyBorder="1" applyAlignment="1" applyProtection="1">
      <alignment horizontal="center" vertical="center"/>
      <protection hidden="1"/>
    </xf>
    <xf numFmtId="44" fontId="3" fillId="6" borderId="0" xfId="0" applyNumberFormat="1" applyFont="1" applyFill="1" applyBorder="1" applyAlignment="1" applyProtection="1">
      <alignment horizontal="center" vertical="center"/>
      <protection hidden="1"/>
    </xf>
    <xf numFmtId="0" fontId="25" fillId="2" borderId="0" xfId="0" applyFont="1" applyFill="1" applyAlignment="1" applyProtection="1">
      <alignment horizontal="center"/>
      <protection hidden="1"/>
    </xf>
    <xf numFmtId="0" fontId="22" fillId="2" borderId="0" xfId="0" applyFont="1" applyFill="1" applyAlignment="1" applyProtection="1">
      <alignment horizontal="center" vertical="center"/>
      <protection hidden="1"/>
    </xf>
    <xf numFmtId="44" fontId="1" fillId="6" borderId="7" xfId="1" applyFont="1" applyFill="1" applyBorder="1" applyAlignment="1" applyProtection="1">
      <alignment horizontal="center" vertical="center"/>
      <protection hidden="1"/>
    </xf>
    <xf numFmtId="44" fontId="1" fillId="6" borderId="9" xfId="1" applyFont="1" applyFill="1" applyBorder="1" applyAlignment="1" applyProtection="1">
      <alignment horizontal="center" vertical="center"/>
      <protection hidden="1"/>
    </xf>
    <xf numFmtId="1" fontId="1" fillId="0" borderId="7" xfId="0" applyNumberFormat="1" applyFont="1" applyBorder="1" applyAlignment="1" applyProtection="1">
      <alignment horizontal="center" vertical="center"/>
      <protection hidden="1"/>
    </xf>
    <xf numFmtId="0" fontId="1" fillId="6" borderId="7" xfId="0" applyFont="1" applyFill="1" applyBorder="1" applyAlignment="1" applyProtection="1">
      <alignment horizontal="center" vertical="center"/>
      <protection hidden="1"/>
    </xf>
    <xf numFmtId="0" fontId="1" fillId="6" borderId="9" xfId="0" applyFont="1" applyFill="1" applyBorder="1" applyAlignment="1" applyProtection="1">
      <alignment horizontal="center" vertical="center"/>
      <protection hidden="1"/>
    </xf>
    <xf numFmtId="1" fontId="1" fillId="0" borderId="6" xfId="0" applyNumberFormat="1" applyFont="1" applyBorder="1" applyAlignment="1" applyProtection="1">
      <alignment horizontal="center" vertical="center"/>
      <protection hidden="1"/>
    </xf>
    <xf numFmtId="1" fontId="1" fillId="0" borderId="3" xfId="0" applyNumberFormat="1" applyFont="1" applyBorder="1" applyAlignment="1" applyProtection="1">
      <alignment horizontal="center" vertical="center"/>
      <protection hidden="1"/>
    </xf>
    <xf numFmtId="44" fontId="3" fillId="6" borderId="7" xfId="0" applyNumberFormat="1" applyFont="1" applyFill="1" applyBorder="1" applyAlignment="1" applyProtection="1">
      <alignment horizontal="center" vertical="center"/>
      <protection hidden="1"/>
    </xf>
    <xf numFmtId="44" fontId="3" fillId="0" borderId="0" xfId="0" applyNumberFormat="1" applyFont="1" applyFill="1" applyBorder="1" applyAlignment="1" applyProtection="1">
      <alignment horizontal="center" vertical="center"/>
      <protection locked="0" hidden="1"/>
    </xf>
    <xf numFmtId="44" fontId="3" fillId="0" borderId="1" xfId="0" applyNumberFormat="1" applyFont="1" applyFill="1" applyBorder="1" applyAlignment="1" applyProtection="1">
      <alignment horizontal="center" vertical="center"/>
      <protection locked="0" hidden="1"/>
    </xf>
    <xf numFmtId="44" fontId="3" fillId="0" borderId="14" xfId="0" applyNumberFormat="1" applyFont="1" applyFill="1" applyBorder="1" applyAlignment="1" applyProtection="1">
      <alignment horizontal="center" vertical="center"/>
      <protection locked="0" hidden="1"/>
    </xf>
    <xf numFmtId="44" fontId="3" fillId="0" borderId="18" xfId="0" applyNumberFormat="1" applyFont="1" applyFill="1" applyBorder="1" applyAlignment="1" applyProtection="1">
      <alignment horizontal="center" vertical="center"/>
      <protection locked="0" hidden="1"/>
    </xf>
    <xf numFmtId="44" fontId="3" fillId="0" borderId="11" xfId="0" applyNumberFormat="1" applyFont="1" applyFill="1" applyBorder="1" applyAlignment="1" applyProtection="1">
      <alignment horizontal="center" vertical="center"/>
      <protection locked="0" hidden="1"/>
    </xf>
    <xf numFmtId="44" fontId="9" fillId="6" borderId="9" xfId="0" applyNumberFormat="1" applyFont="1" applyFill="1" applyBorder="1" applyAlignment="1" applyProtection="1">
      <alignment horizontal="center" vertical="center"/>
      <protection hidden="1"/>
    </xf>
    <xf numFmtId="44" fontId="9" fillId="6" borderId="12" xfId="0" applyNumberFormat="1" applyFont="1" applyFill="1" applyBorder="1" applyAlignment="1" applyProtection="1">
      <alignment horizontal="center" vertical="center"/>
      <protection hidden="1"/>
    </xf>
    <xf numFmtId="44" fontId="9" fillId="0" borderId="18" xfId="0" applyNumberFormat="1" applyFont="1" applyBorder="1" applyAlignment="1" applyProtection="1">
      <alignment horizontal="center" vertical="center"/>
      <protection hidden="1"/>
    </xf>
    <xf numFmtId="44" fontId="9" fillId="0" borderId="11" xfId="0" applyNumberFormat="1" applyFont="1" applyBorder="1" applyAlignment="1" applyProtection="1">
      <alignment horizontal="center" vertical="center"/>
      <protection hidden="1"/>
    </xf>
    <xf numFmtId="164" fontId="3" fillId="6" borderId="44" xfId="0" applyNumberFormat="1" applyFont="1" applyFill="1" applyBorder="1" applyAlignment="1" applyProtection="1">
      <alignment horizontal="center" vertical="center"/>
      <protection hidden="1"/>
    </xf>
    <xf numFmtId="164" fontId="3" fillId="6" borderId="41" xfId="0" applyNumberFormat="1" applyFont="1" applyFill="1" applyBorder="1" applyAlignment="1" applyProtection="1">
      <alignment horizontal="center" vertical="center"/>
      <protection hidden="1"/>
    </xf>
    <xf numFmtId="0" fontId="3" fillId="12" borderId="43" xfId="0" applyFont="1" applyFill="1" applyBorder="1" applyAlignment="1" applyProtection="1">
      <alignment horizontal="left" vertical="center" wrapText="1"/>
      <protection hidden="1"/>
    </xf>
    <xf numFmtId="44" fontId="9" fillId="0" borderId="0" xfId="0" applyNumberFormat="1" applyFont="1" applyAlignment="1" applyProtection="1">
      <alignment horizontal="center" vertical="center"/>
      <protection hidden="1"/>
    </xf>
    <xf numFmtId="44" fontId="9" fillId="0" borderId="1" xfId="0" applyNumberFormat="1" applyFont="1" applyBorder="1" applyAlignment="1" applyProtection="1">
      <alignment horizontal="center" vertical="center"/>
      <protection hidden="1"/>
    </xf>
    <xf numFmtId="44" fontId="9" fillId="6" borderId="0" xfId="0" applyNumberFormat="1" applyFont="1" applyFill="1" applyAlignment="1" applyProtection="1">
      <alignment horizontal="center" vertical="center"/>
      <protection hidden="1"/>
    </xf>
    <xf numFmtId="44" fontId="9" fillId="6" borderId="1" xfId="0" applyNumberFormat="1" applyFont="1" applyFill="1" applyBorder="1" applyAlignment="1" applyProtection="1">
      <alignment horizontal="center" vertical="center"/>
      <protection hidden="1"/>
    </xf>
    <xf numFmtId="44" fontId="9" fillId="12" borderId="0" xfId="0" applyNumberFormat="1" applyFont="1" applyFill="1" applyAlignment="1" applyProtection="1">
      <alignment horizontal="center" vertical="center"/>
      <protection hidden="1"/>
    </xf>
    <xf numFmtId="0" fontId="1" fillId="0" borderId="43" xfId="0" applyFont="1" applyBorder="1" applyAlignment="1" applyProtection="1">
      <alignment horizontal="left" vertical="center"/>
      <protection hidden="1"/>
    </xf>
    <xf numFmtId="44" fontId="33" fillId="9" borderId="27" xfId="0" applyNumberFormat="1" applyFont="1" applyFill="1" applyBorder="1" applyAlignment="1" applyProtection="1">
      <alignment horizontal="center" vertical="center"/>
      <protection hidden="1"/>
    </xf>
    <xf numFmtId="0" fontId="33" fillId="9" borderId="1" xfId="0" applyFont="1" applyFill="1" applyBorder="1" applyAlignment="1" applyProtection="1">
      <alignment horizontal="center" vertical="center"/>
      <protection hidden="1"/>
    </xf>
    <xf numFmtId="44" fontId="33" fillId="10" borderId="42" xfId="0" applyNumberFormat="1" applyFont="1" applyFill="1" applyBorder="1" applyAlignment="1" applyProtection="1">
      <alignment horizontal="center" vertical="center"/>
      <protection hidden="1"/>
    </xf>
    <xf numFmtId="0" fontId="33" fillId="10" borderId="51" xfId="0" applyFont="1" applyFill="1" applyBorder="1" applyAlignment="1" applyProtection="1">
      <alignment horizontal="center" vertical="center"/>
      <protection hidden="1"/>
    </xf>
    <xf numFmtId="44" fontId="33" fillId="6" borderId="27" xfId="0" applyNumberFormat="1" applyFont="1" applyFill="1" applyBorder="1" applyAlignment="1" applyProtection="1">
      <alignment horizontal="center" vertical="center"/>
      <protection hidden="1"/>
    </xf>
    <xf numFmtId="0" fontId="33" fillId="6" borderId="1" xfId="0" applyFont="1" applyFill="1" applyBorder="1" applyAlignment="1" applyProtection="1">
      <alignment horizontal="center" vertical="center"/>
      <protection hidden="1"/>
    </xf>
    <xf numFmtId="44" fontId="7" fillId="6" borderId="27" xfId="0" applyNumberFormat="1" applyFont="1" applyFill="1" applyBorder="1" applyAlignment="1" applyProtection="1">
      <alignment horizontal="center" vertical="center"/>
      <protection hidden="1"/>
    </xf>
    <xf numFmtId="44" fontId="7" fillId="6" borderId="33" xfId="0" applyNumberFormat="1" applyFont="1" applyFill="1" applyBorder="1" applyAlignment="1" applyProtection="1">
      <alignment horizontal="center" vertical="center"/>
      <protection hidden="1"/>
    </xf>
    <xf numFmtId="44" fontId="7" fillId="9" borderId="27" xfId="0" applyNumberFormat="1" applyFont="1" applyFill="1" applyBorder="1" applyAlignment="1" applyProtection="1">
      <alignment horizontal="center" vertical="center"/>
      <protection hidden="1"/>
    </xf>
    <xf numFmtId="44" fontId="7" fillId="9" borderId="33" xfId="0" applyNumberFormat="1" applyFont="1" applyFill="1" applyBorder="1" applyAlignment="1" applyProtection="1">
      <alignment horizontal="center" vertical="center"/>
      <protection hidden="1"/>
    </xf>
    <xf numFmtId="44" fontId="7" fillId="10" borderId="42" xfId="0" applyNumberFormat="1" applyFont="1" applyFill="1" applyBorder="1" applyAlignment="1" applyProtection="1">
      <alignment horizontal="center" vertical="center"/>
      <protection hidden="1"/>
    </xf>
    <xf numFmtId="44" fontId="7" fillId="10" borderId="41" xfId="0" applyNumberFormat="1" applyFont="1" applyFill="1" applyBorder="1" applyAlignment="1" applyProtection="1">
      <alignment horizontal="center" vertical="center"/>
      <protection hidden="1"/>
    </xf>
    <xf numFmtId="0" fontId="3" fillId="15" borderId="26" xfId="0" applyFont="1" applyFill="1" applyBorder="1" applyAlignment="1" applyProtection="1">
      <alignment horizontal="left" vertical="center" wrapText="1"/>
      <protection hidden="1"/>
    </xf>
    <xf numFmtId="0" fontId="3" fillId="15" borderId="43" xfId="0" applyFont="1" applyFill="1" applyBorder="1" applyAlignment="1" applyProtection="1">
      <alignment horizontal="left" vertical="center" wrapText="1"/>
      <protection hidden="1"/>
    </xf>
    <xf numFmtId="0" fontId="3" fillId="15" borderId="32" xfId="0" applyFont="1" applyFill="1" applyBorder="1" applyAlignment="1" applyProtection="1">
      <alignment horizontal="left" vertical="center" wrapText="1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23" fillId="2" borderId="0" xfId="0" applyFont="1" applyFill="1" applyBorder="1" applyAlignment="1" applyProtection="1">
      <alignment horizontal="center" vertical="center"/>
      <protection hidden="1"/>
    </xf>
    <xf numFmtId="0" fontId="3" fillId="13" borderId="26" xfId="0" applyFont="1" applyFill="1" applyBorder="1" applyAlignment="1" applyProtection="1">
      <alignment horizontal="left" vertical="center" wrapText="1"/>
      <protection hidden="1"/>
    </xf>
    <xf numFmtId="0" fontId="3" fillId="13" borderId="43" xfId="0" applyFont="1" applyFill="1" applyBorder="1" applyAlignment="1" applyProtection="1">
      <alignment horizontal="left" vertical="center" wrapText="1"/>
      <protection hidden="1"/>
    </xf>
    <xf numFmtId="0" fontId="3" fillId="13" borderId="32" xfId="0" applyFont="1" applyFill="1" applyBorder="1" applyAlignment="1" applyProtection="1">
      <alignment horizontal="left" vertical="center" wrapText="1"/>
      <protection hidden="1"/>
    </xf>
    <xf numFmtId="0" fontId="23" fillId="2" borderId="33" xfId="0" applyFont="1" applyFill="1" applyBorder="1" applyAlignment="1" applyProtection="1">
      <alignment horizontal="center" vertical="center"/>
      <protection hidden="1"/>
    </xf>
    <xf numFmtId="0" fontId="23" fillId="2" borderId="0" xfId="0" applyFont="1" applyFill="1" applyAlignment="1" applyProtection="1">
      <alignment horizontal="center" vertical="center"/>
      <protection hidden="1"/>
    </xf>
    <xf numFmtId="0" fontId="1" fillId="0" borderId="8" xfId="0" applyFont="1" applyFill="1" applyBorder="1" applyAlignment="1" applyProtection="1">
      <alignment horizontal="center" vertical="center" wrapText="1"/>
      <protection hidden="1"/>
    </xf>
    <xf numFmtId="37" fontId="1" fillId="18" borderId="8" xfId="0" applyNumberFormat="1" applyFont="1" applyFill="1" applyBorder="1" applyAlignment="1" applyProtection="1">
      <alignment horizontal="center" vertical="center"/>
      <protection hidden="1"/>
    </xf>
    <xf numFmtId="0" fontId="1" fillId="18" borderId="8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0" fontId="3" fillId="0" borderId="0" xfId="0" applyFont="1" applyBorder="1" applyAlignment="1" applyProtection="1">
      <alignment horizontal="center" vertical="center" wrapText="1"/>
      <protection hidden="1"/>
    </xf>
    <xf numFmtId="0" fontId="3" fillId="13" borderId="26" xfId="0" applyFont="1" applyFill="1" applyBorder="1" applyAlignment="1" applyProtection="1">
      <alignment horizontal="left" vertical="center"/>
      <protection hidden="1"/>
    </xf>
    <xf numFmtId="0" fontId="3" fillId="13" borderId="43" xfId="0" applyFont="1" applyFill="1" applyBorder="1" applyAlignment="1" applyProtection="1">
      <alignment horizontal="left" vertical="center"/>
      <protection hidden="1"/>
    </xf>
    <xf numFmtId="0" fontId="3" fillId="13" borderId="32" xfId="0" applyFont="1" applyFill="1" applyBorder="1" applyAlignment="1" applyProtection="1">
      <alignment horizontal="left" vertical="center"/>
      <protection hidden="1"/>
    </xf>
    <xf numFmtId="44" fontId="33" fillId="6" borderId="1" xfId="0" applyNumberFormat="1" applyFont="1" applyFill="1" applyBorder="1" applyAlignment="1" applyProtection="1">
      <alignment horizontal="center" vertical="center"/>
      <protection hidden="1"/>
    </xf>
    <xf numFmtId="44" fontId="33" fillId="9" borderId="1" xfId="0" applyNumberFormat="1" applyFont="1" applyFill="1" applyBorder="1" applyAlignment="1" applyProtection="1">
      <alignment horizontal="center" vertical="center"/>
      <protection hidden="1"/>
    </xf>
    <xf numFmtId="44" fontId="33" fillId="10" borderId="51" xfId="0" applyNumberFormat="1" applyFont="1" applyFill="1" applyBorder="1" applyAlignment="1" applyProtection="1">
      <alignment horizontal="center" vertical="center"/>
      <protection hidden="1"/>
    </xf>
    <xf numFmtId="0" fontId="23" fillId="2" borderId="7" xfId="0" applyFont="1" applyFill="1" applyBorder="1" applyAlignment="1" applyProtection="1">
      <alignment horizontal="center" vertical="center" wrapText="1"/>
      <protection hidden="1"/>
    </xf>
    <xf numFmtId="0" fontId="23" fillId="2" borderId="12" xfId="0" applyFont="1" applyFill="1" applyBorder="1" applyAlignment="1" applyProtection="1">
      <alignment horizontal="center" vertical="center" wrapText="1"/>
      <protection hidden="1"/>
    </xf>
    <xf numFmtId="0" fontId="3" fillId="0" borderId="27" xfId="0" applyFont="1" applyBorder="1" applyAlignment="1" applyProtection="1">
      <alignment horizontal="center"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23" fillId="2" borderId="0" xfId="0" applyFont="1" applyFill="1" applyBorder="1" applyAlignment="1" applyProtection="1">
      <alignment horizontal="center" vertical="center" wrapText="1"/>
      <protection hidden="1"/>
    </xf>
    <xf numFmtId="0" fontId="23" fillId="2" borderId="1" xfId="0" applyFont="1" applyFill="1" applyBorder="1" applyAlignment="1" applyProtection="1">
      <alignment horizontal="center" vertical="center" wrapText="1"/>
      <protection hidden="1"/>
    </xf>
    <xf numFmtId="0" fontId="1" fillId="0" borderId="8" xfId="0" applyFont="1" applyBorder="1" applyAlignment="1" applyProtection="1">
      <alignment horizontal="center" vertical="center" wrapText="1"/>
      <protection hidden="1"/>
    </xf>
    <xf numFmtId="44" fontId="31" fillId="18" borderId="0" xfId="0" applyNumberFormat="1" applyFont="1" applyFill="1" applyAlignment="1" applyProtection="1">
      <alignment horizontal="center"/>
      <protection hidden="1"/>
    </xf>
    <xf numFmtId="0" fontId="7" fillId="15" borderId="10" xfId="0" applyFont="1" applyFill="1" applyBorder="1" applyAlignment="1" applyProtection="1">
      <alignment horizontal="center" vertical="center"/>
      <protection hidden="1"/>
    </xf>
    <xf numFmtId="0" fontId="7" fillId="15" borderId="0" xfId="0" applyFont="1" applyFill="1" applyBorder="1" applyAlignment="1" applyProtection="1">
      <alignment horizontal="center" vertical="center"/>
      <protection hidden="1"/>
    </xf>
    <xf numFmtId="0" fontId="30" fillId="11" borderId="10" xfId="0" applyFont="1" applyFill="1" applyBorder="1" applyAlignment="1" applyProtection="1">
      <alignment horizontal="center" vertical="center" wrapText="1"/>
      <protection locked="0" hidden="1"/>
    </xf>
    <xf numFmtId="0" fontId="30" fillId="11" borderId="0" xfId="0" applyFont="1" applyFill="1" applyBorder="1" applyAlignment="1" applyProtection="1">
      <alignment horizontal="center" vertical="center" wrapText="1"/>
      <protection locked="0" hidden="1"/>
    </xf>
    <xf numFmtId="0" fontId="1" fillId="0" borderId="18" xfId="0" applyFont="1" applyBorder="1" applyAlignment="1" applyProtection="1">
      <alignment horizontal="center"/>
      <protection hidden="1"/>
    </xf>
    <xf numFmtId="0" fontId="1" fillId="0" borderId="11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13" borderId="10" xfId="0" applyFont="1" applyFill="1" applyBorder="1" applyAlignment="1" applyProtection="1">
      <alignment horizontal="center" vertical="center"/>
      <protection hidden="1"/>
    </xf>
    <xf numFmtId="0" fontId="7" fillId="13" borderId="0" xfId="0" applyFont="1" applyFill="1" applyBorder="1" applyAlignment="1" applyProtection="1">
      <alignment horizontal="center" vertical="center"/>
      <protection hidden="1"/>
    </xf>
    <xf numFmtId="0" fontId="1" fillId="0" borderId="0" xfId="0" applyFont="1" applyAlignment="1" applyProtection="1">
      <alignment horizontal="center"/>
      <protection hidden="1"/>
    </xf>
    <xf numFmtId="164" fontId="20" fillId="0" borderId="0" xfId="0" applyNumberFormat="1" applyFont="1" applyBorder="1" applyAlignment="1" applyProtection="1">
      <alignment horizontal="center"/>
      <protection hidden="1"/>
    </xf>
    <xf numFmtId="164" fontId="1" fillId="0" borderId="0" xfId="0" applyNumberFormat="1" applyFont="1" applyBorder="1" applyAlignment="1" applyProtection="1">
      <alignment horizontal="center"/>
      <protection hidden="1"/>
    </xf>
    <xf numFmtId="164" fontId="26" fillId="2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17" xfId="0" applyFont="1" applyBorder="1" applyAlignment="1" applyProtection="1">
      <alignment horizontal="center"/>
      <protection hidden="1"/>
    </xf>
    <xf numFmtId="0" fontId="26" fillId="2" borderId="0" xfId="0" applyNumberFormat="1" applyFont="1" applyFill="1" applyBorder="1" applyAlignment="1" applyProtection="1">
      <alignment horizontal="center" vertical="center"/>
      <protection hidden="1"/>
    </xf>
    <xf numFmtId="0" fontId="1" fillId="0" borderId="16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1" fillId="0" borderId="15" xfId="0" applyFont="1" applyBorder="1" applyAlignment="1" applyProtection="1">
      <alignment horizontal="center"/>
      <protection hidden="1"/>
    </xf>
    <xf numFmtId="1" fontId="3" fillId="15" borderId="0" xfId="0" applyNumberFormat="1" applyFont="1" applyFill="1" applyAlignment="1" applyProtection="1">
      <alignment horizontal="center" wrapText="1"/>
      <protection hidden="1"/>
    </xf>
    <xf numFmtId="1" fontId="3" fillId="15" borderId="44" xfId="0" applyNumberFormat="1" applyFont="1" applyFill="1" applyBorder="1" applyAlignment="1" applyProtection="1">
      <alignment horizontal="center" wrapText="1"/>
      <protection hidden="1"/>
    </xf>
    <xf numFmtId="1" fontId="3" fillId="13" borderId="0" xfId="0" applyNumberFormat="1" applyFont="1" applyFill="1" applyAlignment="1" applyProtection="1">
      <alignment horizontal="center" vertical="center" wrapText="1"/>
      <protection hidden="1"/>
    </xf>
    <xf numFmtId="44" fontId="3" fillId="12" borderId="0" xfId="0" applyNumberFormat="1" applyFont="1" applyFill="1" applyAlignment="1" applyProtection="1">
      <alignment horizontal="center" vertical="center"/>
      <protection hidden="1"/>
    </xf>
    <xf numFmtId="0" fontId="3" fillId="13" borderId="0" xfId="0" applyNumberFormat="1" applyFont="1" applyFill="1" applyAlignment="1" applyProtection="1">
      <alignment horizontal="center" vertical="center" wrapText="1"/>
      <protection hidden="1"/>
    </xf>
    <xf numFmtId="0" fontId="3" fillId="12" borderId="0" xfId="0" applyFont="1" applyFill="1" applyAlignment="1" applyProtection="1">
      <alignment horizontal="center" vertical="center"/>
      <protection hidden="1"/>
    </xf>
    <xf numFmtId="44" fontId="3" fillId="0" borderId="0" xfId="0" applyNumberFormat="1" applyFont="1" applyAlignment="1" applyProtection="1">
      <alignment horizontal="right"/>
      <protection hidden="1"/>
    </xf>
    <xf numFmtId="44" fontId="1" fillId="0" borderId="0" xfId="0" applyNumberFormat="1" applyFont="1" applyBorder="1" applyAlignment="1" applyProtection="1">
      <alignment horizontal="right"/>
      <protection hidden="1"/>
    </xf>
    <xf numFmtId="44" fontId="1" fillId="0" borderId="0" xfId="0" applyNumberFormat="1" applyFont="1" applyAlignment="1" applyProtection="1">
      <alignment horizontal="right"/>
      <protection hidden="1"/>
    </xf>
    <xf numFmtId="44" fontId="1" fillId="0" borderId="0" xfId="0" applyNumberFormat="1" applyFont="1" applyAlignment="1" applyProtection="1">
      <alignment horizontal="center"/>
      <protection hidden="1"/>
    </xf>
    <xf numFmtId="44" fontId="1" fillId="0" borderId="18" xfId="0" applyNumberFormat="1" applyFont="1" applyBorder="1" applyAlignment="1" applyProtection="1">
      <alignment horizontal="center"/>
      <protection hidden="1"/>
    </xf>
    <xf numFmtId="44" fontId="3" fillId="13" borderId="9" xfId="0" applyNumberFormat="1" applyFont="1" applyFill="1" applyBorder="1" applyAlignment="1" applyProtection="1">
      <alignment horizontal="center" vertical="top" wrapText="1"/>
      <protection hidden="1"/>
    </xf>
    <xf numFmtId="44" fontId="3" fillId="15" borderId="9" xfId="0" applyNumberFormat="1" applyFont="1" applyFill="1" applyBorder="1" applyAlignment="1" applyProtection="1">
      <alignment horizontal="center" vertical="top" wrapText="1"/>
      <protection hidden="1"/>
    </xf>
    <xf numFmtId="44" fontId="3" fillId="15" borderId="65" xfId="0" applyNumberFormat="1" applyFont="1" applyFill="1" applyBorder="1" applyAlignment="1" applyProtection="1">
      <alignment horizontal="center" vertical="top" wrapText="1"/>
      <protection hidden="1"/>
    </xf>
    <xf numFmtId="10" fontId="3" fillId="0" borderId="18" xfId="0" applyNumberFormat="1" applyFont="1" applyBorder="1" applyAlignment="1" applyProtection="1">
      <alignment horizontal="center"/>
      <protection hidden="1"/>
    </xf>
    <xf numFmtId="10" fontId="3" fillId="0" borderId="9" xfId="0" applyNumberFormat="1" applyFont="1" applyBorder="1" applyAlignment="1" applyProtection="1">
      <alignment horizontal="center"/>
      <protection hidden="1"/>
    </xf>
    <xf numFmtId="10" fontId="3" fillId="0" borderId="2" xfId="0" applyNumberFormat="1" applyFont="1" applyBorder="1" applyAlignment="1" applyProtection="1">
      <alignment horizontal="center"/>
      <protection hidden="1"/>
    </xf>
    <xf numFmtId="164" fontId="1" fillId="0" borderId="11" xfId="0" applyNumberFormat="1" applyFont="1" applyBorder="1" applyAlignment="1" applyProtection="1">
      <alignment horizontal="center"/>
      <protection hidden="1"/>
    </xf>
    <xf numFmtId="164" fontId="1" fillId="0" borderId="12" xfId="0" applyNumberFormat="1" applyFont="1" applyBorder="1" applyAlignment="1" applyProtection="1">
      <alignment horizontal="center"/>
      <protection hidden="1"/>
    </xf>
    <xf numFmtId="164" fontId="1" fillId="0" borderId="12" xfId="0" applyNumberFormat="1" applyFont="1" applyFill="1" applyBorder="1" applyAlignment="1" applyProtection="1">
      <alignment horizontal="center"/>
      <protection hidden="1"/>
    </xf>
    <xf numFmtId="164" fontId="1" fillId="0" borderId="3" xfId="0" applyNumberFormat="1" applyFont="1" applyFill="1" applyBorder="1" applyAlignment="1" applyProtection="1">
      <alignment horizontal="center"/>
      <protection hidden="1"/>
    </xf>
    <xf numFmtId="164" fontId="1" fillId="0" borderId="2" xfId="0" applyNumberFormat="1" applyFont="1" applyFill="1" applyBorder="1" applyAlignment="1" applyProtection="1">
      <alignment horizontal="center"/>
      <protection hidden="1"/>
    </xf>
    <xf numFmtId="164" fontId="1" fillId="0" borderId="0" xfId="0" applyNumberFormat="1" applyFont="1" applyFill="1" applyBorder="1" applyAlignment="1" applyProtection="1">
      <alignment horizontal="center"/>
      <protection hidden="1"/>
    </xf>
    <xf numFmtId="44" fontId="3" fillId="12" borderId="9" xfId="0" applyNumberFormat="1" applyFont="1" applyFill="1" applyBorder="1" applyAlignment="1" applyProtection="1">
      <alignment horizontal="center" vertical="top" wrapText="1"/>
      <protection hidden="1"/>
    </xf>
    <xf numFmtId="164" fontId="1" fillId="0" borderId="0" xfId="0" applyNumberFormat="1" applyFont="1" applyAlignment="1" applyProtection="1">
      <alignment horizontal="center"/>
      <protection hidden="1"/>
    </xf>
    <xf numFmtId="44" fontId="1" fillId="13" borderId="0" xfId="0" applyNumberFormat="1" applyFont="1" applyFill="1" applyBorder="1" applyAlignment="1" applyProtection="1">
      <alignment horizontal="center" vertical="center"/>
      <protection hidden="1"/>
    </xf>
    <xf numFmtId="44" fontId="1" fillId="12" borderId="0" xfId="0" applyNumberFormat="1" applyFont="1" applyFill="1" applyBorder="1" applyAlignment="1" applyProtection="1">
      <alignment horizontal="center" vertical="center"/>
      <protection hidden="1"/>
    </xf>
    <xf numFmtId="0" fontId="3" fillId="0" borderId="3" xfId="0" applyFont="1" applyBorder="1" applyAlignment="1" applyProtection="1">
      <alignment horizontal="center"/>
      <protection hidden="1"/>
    </xf>
    <xf numFmtId="0" fontId="3" fillId="0" borderId="11" xfId="0" applyFont="1" applyBorder="1" applyAlignment="1" applyProtection="1">
      <alignment horizontal="center"/>
      <protection hidden="1"/>
    </xf>
    <xf numFmtId="8" fontId="3" fillId="0" borderId="3" xfId="0" applyNumberFormat="1" applyFont="1" applyBorder="1" applyAlignment="1" applyProtection="1">
      <alignment horizontal="center"/>
      <protection hidden="1"/>
    </xf>
    <xf numFmtId="8" fontId="3" fillId="0" borderId="11" xfId="0" applyNumberFormat="1" applyFont="1" applyBorder="1" applyAlignment="1" applyProtection="1">
      <alignment horizontal="center"/>
      <protection hidden="1"/>
    </xf>
    <xf numFmtId="0" fontId="24" fillId="2" borderId="57" xfId="0" applyFont="1" applyFill="1" applyBorder="1" applyAlignment="1" applyProtection="1">
      <alignment horizontal="center"/>
      <protection hidden="1"/>
    </xf>
    <xf numFmtId="0" fontId="24" fillId="2" borderId="1" xfId="0" applyFont="1" applyFill="1" applyBorder="1" applyAlignment="1" applyProtection="1">
      <alignment horizontal="center"/>
      <protection hidden="1"/>
    </xf>
    <xf numFmtId="0" fontId="24" fillId="2" borderId="11" xfId="0" applyFont="1" applyFill="1" applyBorder="1" applyAlignment="1" applyProtection="1">
      <alignment horizontal="center"/>
      <protection hidden="1"/>
    </xf>
    <xf numFmtId="164" fontId="3" fillId="0" borderId="5" xfId="0" applyNumberFormat="1" applyFont="1" applyBorder="1" applyAlignment="1" applyProtection="1">
      <alignment horizontal="center"/>
      <protection hidden="1"/>
    </xf>
    <xf numFmtId="164" fontId="3" fillId="0" borderId="4" xfId="0" applyNumberFormat="1" applyFont="1" applyBorder="1" applyAlignment="1" applyProtection="1">
      <alignment horizontal="center"/>
      <protection hidden="1"/>
    </xf>
    <xf numFmtId="164" fontId="3" fillId="0" borderId="13" xfId="0" applyNumberFormat="1" applyFont="1" applyBorder="1" applyAlignment="1" applyProtection="1">
      <alignment horizontal="center"/>
      <protection hidden="1"/>
    </xf>
    <xf numFmtId="44" fontId="1" fillId="12" borderId="45" xfId="0" applyNumberFormat="1" applyFont="1" applyFill="1" applyBorder="1" applyAlignment="1" applyProtection="1">
      <alignment horizontal="center" vertical="center"/>
      <protection hidden="1"/>
    </xf>
    <xf numFmtId="44" fontId="1" fillId="12" borderId="10" xfId="0" applyNumberFormat="1" applyFont="1" applyFill="1" applyBorder="1" applyAlignment="1" applyProtection="1">
      <alignment horizontal="center" vertical="center"/>
      <protection hidden="1"/>
    </xf>
    <xf numFmtId="44" fontId="1" fillId="13" borderId="43" xfId="0" applyNumberFormat="1" applyFont="1" applyFill="1" applyBorder="1" applyAlignment="1" applyProtection="1">
      <alignment horizontal="center" vertical="center"/>
      <protection hidden="1"/>
    </xf>
    <xf numFmtId="44" fontId="1" fillId="15" borderId="43" xfId="0" applyNumberFormat="1" applyFont="1" applyFill="1" applyBorder="1" applyAlignment="1" applyProtection="1">
      <alignment horizontal="center"/>
      <protection hidden="1"/>
    </xf>
    <xf numFmtId="44" fontId="1" fillId="15" borderId="0" xfId="0" applyNumberFormat="1" applyFont="1" applyFill="1" applyBorder="1" applyAlignment="1" applyProtection="1">
      <alignment horizontal="center"/>
      <protection hidden="1"/>
    </xf>
    <xf numFmtId="0" fontId="1" fillId="0" borderId="128" xfId="0" applyFont="1" applyBorder="1" applyAlignment="1" applyProtection="1">
      <alignment horizontal="left"/>
      <protection hidden="1"/>
    </xf>
    <xf numFmtId="0" fontId="1" fillId="0" borderId="16" xfId="0" applyFont="1" applyBorder="1" applyAlignment="1" applyProtection="1">
      <alignment horizontal="left"/>
      <protection hidden="1"/>
    </xf>
    <xf numFmtId="0" fontId="3" fillId="0" borderId="11" xfId="0" applyFont="1" applyBorder="1" applyAlignment="1" applyProtection="1">
      <alignment horizontal="center" wrapText="1"/>
      <protection hidden="1"/>
    </xf>
    <xf numFmtId="0" fontId="3" fillId="0" borderId="12" xfId="0" applyFont="1" applyBorder="1" applyAlignment="1" applyProtection="1">
      <alignment horizontal="center" wrapText="1"/>
      <protection hidden="1"/>
    </xf>
    <xf numFmtId="0" fontId="1" fillId="0" borderId="15" xfId="0" applyFont="1" applyBorder="1" applyAlignment="1" applyProtection="1">
      <alignment horizontal="left"/>
      <protection hidden="1"/>
    </xf>
    <xf numFmtId="44" fontId="25" fillId="2" borderId="26" xfId="0" applyNumberFormat="1" applyFont="1" applyFill="1" applyBorder="1" applyAlignment="1" applyProtection="1">
      <alignment horizontal="center" vertical="center" wrapText="1"/>
      <protection hidden="1"/>
    </xf>
    <xf numFmtId="44" fontId="25" fillId="2" borderId="27" xfId="0" applyNumberFormat="1" applyFont="1" applyFill="1" applyBorder="1" applyAlignment="1" applyProtection="1">
      <alignment horizontal="center" vertical="center" wrapText="1"/>
      <protection hidden="1"/>
    </xf>
    <xf numFmtId="44" fontId="25" fillId="2" borderId="42" xfId="0" applyNumberFormat="1" applyFont="1" applyFill="1" applyBorder="1" applyAlignment="1" applyProtection="1">
      <alignment horizontal="center" vertical="center" wrapText="1"/>
      <protection hidden="1"/>
    </xf>
    <xf numFmtId="44" fontId="25" fillId="2" borderId="57" xfId="0" applyNumberFormat="1" applyFont="1" applyFill="1" applyBorder="1" applyAlignment="1" applyProtection="1">
      <alignment horizontal="center" vertical="center" wrapText="1"/>
      <protection hidden="1"/>
    </xf>
    <xf numFmtId="44" fontId="25" fillId="2" borderId="1" xfId="0" applyNumberFormat="1" applyFont="1" applyFill="1" applyBorder="1" applyAlignment="1" applyProtection="1">
      <alignment horizontal="center" vertical="center" wrapText="1"/>
      <protection hidden="1"/>
    </xf>
    <xf numFmtId="44" fontId="25" fillId="2" borderId="51" xfId="0" applyNumberFormat="1" applyFont="1" applyFill="1" applyBorder="1" applyAlignment="1" applyProtection="1">
      <alignment horizontal="center" vertical="center" wrapText="1"/>
      <protection hidden="1"/>
    </xf>
    <xf numFmtId="44" fontId="7" fillId="0" borderId="2" xfId="0" applyNumberFormat="1" applyFont="1" applyBorder="1" applyAlignment="1" applyProtection="1">
      <alignment horizontal="center" vertical="center" wrapText="1"/>
      <protection hidden="1"/>
    </xf>
    <xf numFmtId="44" fontId="7" fillId="0" borderId="0" xfId="0" applyNumberFormat="1" applyFont="1" applyBorder="1" applyAlignment="1" applyProtection="1">
      <alignment horizontal="center" vertical="center" wrapText="1"/>
      <protection hidden="1"/>
    </xf>
    <xf numFmtId="44" fontId="7" fillId="0" borderId="3" xfId="0" applyNumberFormat="1" applyFont="1" applyBorder="1" applyAlignment="1" applyProtection="1">
      <alignment horizontal="center" vertical="center" wrapText="1"/>
      <protection hidden="1"/>
    </xf>
    <xf numFmtId="44" fontId="7" fillId="0" borderId="1" xfId="0" applyNumberFormat="1" applyFont="1" applyBorder="1" applyAlignment="1" applyProtection="1">
      <alignment horizontal="center" vertical="center" wrapText="1"/>
      <protection hidden="1"/>
    </xf>
    <xf numFmtId="44" fontId="25" fillId="2" borderId="76" xfId="0" applyNumberFormat="1" applyFont="1" applyFill="1" applyBorder="1" applyAlignment="1" applyProtection="1">
      <alignment horizontal="center" vertical="center" wrapText="1"/>
      <protection hidden="1"/>
    </xf>
    <xf numFmtId="44" fontId="25" fillId="2" borderId="3" xfId="0" applyNumberFormat="1" applyFont="1" applyFill="1" applyBorder="1" applyAlignment="1" applyProtection="1">
      <alignment horizontal="center" vertical="center" wrapText="1"/>
      <protection hidden="1"/>
    </xf>
    <xf numFmtId="0" fontId="24" fillId="2" borderId="3" xfId="0" applyFont="1" applyFill="1" applyBorder="1" applyAlignment="1" applyProtection="1">
      <alignment horizontal="center"/>
      <protection hidden="1"/>
    </xf>
    <xf numFmtId="164" fontId="3" fillId="0" borderId="58" xfId="0" applyNumberFormat="1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hidden="1"/>
    </xf>
    <xf numFmtId="44" fontId="1" fillId="12" borderId="2" xfId="0" applyNumberFormat="1" applyFont="1" applyFill="1" applyBorder="1" applyAlignment="1" applyProtection="1">
      <alignment horizontal="center" vertical="center"/>
      <protection hidden="1"/>
    </xf>
    <xf numFmtId="44" fontId="1" fillId="13" borderId="2" xfId="0" applyNumberFormat="1" applyFont="1" applyFill="1" applyBorder="1" applyAlignment="1" applyProtection="1">
      <alignment horizontal="center" vertical="center"/>
      <protection hidden="1"/>
    </xf>
    <xf numFmtId="44" fontId="1" fillId="15" borderId="2" xfId="0" applyNumberFormat="1" applyFont="1" applyFill="1" applyBorder="1" applyAlignment="1" applyProtection="1">
      <alignment horizontal="center"/>
      <protection hidden="1"/>
    </xf>
    <xf numFmtId="44" fontId="3" fillId="12" borderId="0" xfId="0" applyNumberFormat="1" applyFont="1" applyFill="1" applyAlignment="1" applyProtection="1">
      <alignment horizontal="center"/>
      <protection hidden="1"/>
    </xf>
    <xf numFmtId="44" fontId="3" fillId="15" borderId="0" xfId="0" applyNumberFormat="1" applyFont="1" applyFill="1" applyAlignment="1" applyProtection="1">
      <alignment horizontal="center"/>
      <protection hidden="1"/>
    </xf>
    <xf numFmtId="0" fontId="3" fillId="13" borderId="0" xfId="0" applyFont="1" applyFill="1" applyAlignment="1" applyProtection="1">
      <alignment horizontal="center"/>
      <protection hidden="1"/>
    </xf>
    <xf numFmtId="0" fontId="3" fillId="0" borderId="6" xfId="0" applyFont="1" applyFill="1" applyBorder="1" applyAlignment="1" applyProtection="1">
      <alignment horizontal="center"/>
      <protection hidden="1"/>
    </xf>
    <xf numFmtId="0" fontId="3" fillId="0" borderId="10" xfId="0" applyFont="1" applyFill="1" applyBorder="1" applyAlignment="1" applyProtection="1">
      <alignment horizontal="center"/>
      <protection hidden="1"/>
    </xf>
    <xf numFmtId="0" fontId="3" fillId="0" borderId="14" xfId="0" applyFont="1" applyFill="1" applyBorder="1" applyAlignment="1" applyProtection="1">
      <alignment horizontal="center"/>
      <protection hidden="1"/>
    </xf>
    <xf numFmtId="44" fontId="1" fillId="0" borderId="0" xfId="0" applyNumberFormat="1" applyFont="1" applyFill="1" applyAlignment="1" applyProtection="1">
      <alignment horizontal="center"/>
      <protection hidden="1"/>
    </xf>
    <xf numFmtId="44" fontId="24" fillId="2" borderId="3" xfId="0" applyNumberFormat="1" applyFont="1" applyFill="1" applyBorder="1" applyAlignment="1" applyProtection="1">
      <alignment horizontal="center"/>
      <protection hidden="1"/>
    </xf>
    <xf numFmtId="44" fontId="24" fillId="2" borderId="11" xfId="0" applyNumberFormat="1" applyFont="1" applyFill="1" applyBorder="1" applyAlignment="1" applyProtection="1">
      <alignment horizontal="center"/>
      <protection hidden="1"/>
    </xf>
    <xf numFmtId="0" fontId="1" fillId="6" borderId="16" xfId="0" applyNumberFormat="1" applyFont="1" applyFill="1" applyBorder="1" applyAlignment="1" applyProtection="1">
      <alignment horizontal="center" wrapText="1"/>
      <protection locked="0" hidden="1"/>
    </xf>
    <xf numFmtId="0" fontId="1" fillId="4" borderId="20" xfId="0" applyFont="1" applyFill="1" applyBorder="1" applyAlignment="1" applyProtection="1">
      <alignment horizontal="left" wrapText="1"/>
      <protection locked="0" hidden="1"/>
    </xf>
    <xf numFmtId="0" fontId="1" fillId="4" borderId="15" xfId="0" applyFont="1" applyFill="1" applyBorder="1" applyAlignment="1" applyProtection="1">
      <alignment horizontal="left" wrapText="1"/>
      <protection locked="0" hidden="1"/>
    </xf>
    <xf numFmtId="0" fontId="1" fillId="6" borderId="17" xfId="0" applyNumberFormat="1" applyFont="1" applyFill="1" applyBorder="1" applyAlignment="1" applyProtection="1">
      <alignment horizontal="center" wrapText="1"/>
      <protection locked="0" hidden="1"/>
    </xf>
    <xf numFmtId="0" fontId="3" fillId="0" borderId="5" xfId="0" applyNumberFormat="1" applyFont="1" applyFill="1" applyBorder="1" applyAlignment="1" applyProtection="1">
      <alignment horizontal="center" vertical="center"/>
      <protection hidden="1"/>
    </xf>
    <xf numFmtId="0" fontId="3" fillId="0" borderId="4" xfId="0" applyNumberFormat="1" applyFont="1" applyFill="1" applyBorder="1" applyAlignment="1" applyProtection="1">
      <alignment horizontal="center" vertical="center"/>
      <protection hidden="1"/>
    </xf>
    <xf numFmtId="0" fontId="3" fillId="0" borderId="5" xfId="0" applyFont="1" applyFill="1" applyBorder="1" applyAlignment="1" applyProtection="1">
      <alignment horizontal="center" vertical="center"/>
      <protection hidden="1"/>
    </xf>
    <xf numFmtId="0" fontId="3" fillId="0" borderId="4" xfId="0" applyFont="1" applyFill="1" applyBorder="1" applyAlignment="1" applyProtection="1">
      <alignment horizontal="center" vertical="center"/>
      <protection hidden="1"/>
    </xf>
    <xf numFmtId="0" fontId="3" fillId="0" borderId="13" xfId="0" applyFont="1" applyFill="1" applyBorder="1" applyAlignment="1" applyProtection="1">
      <alignment horizontal="center" vertical="center"/>
      <protection hidden="1"/>
    </xf>
    <xf numFmtId="0" fontId="1" fillId="6" borderId="15" xfId="0" applyNumberFormat="1" applyFont="1" applyFill="1" applyBorder="1" applyAlignment="1" applyProtection="1">
      <alignment horizontal="center" wrapText="1"/>
      <protection locked="0" hidden="1"/>
    </xf>
    <xf numFmtId="44" fontId="25" fillId="2" borderId="0" xfId="0" applyNumberFormat="1" applyFont="1" applyFill="1" applyBorder="1" applyAlignment="1" applyProtection="1">
      <alignment horizontal="center" vertical="center"/>
      <protection hidden="1"/>
    </xf>
    <xf numFmtId="44" fontId="25" fillId="2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Font="1" applyFill="1" applyAlignment="1" applyProtection="1">
      <alignment horizontal="left"/>
      <protection hidden="1"/>
    </xf>
    <xf numFmtId="0" fontId="3" fillId="0" borderId="0" xfId="0" applyFont="1" applyFill="1" applyAlignment="1" applyProtection="1">
      <alignment horizontal="left"/>
      <protection hidden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6699FF"/>
      <color rgb="FF99FF99"/>
      <color rgb="FFFFFF00"/>
      <color rgb="FFFFFFA7"/>
      <color rgb="FF66FF33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en-US">
                <a:latin typeface="Times New Roman" pitchFamily="18" charset="0"/>
                <a:cs typeface="Times New Roman" pitchFamily="18" charset="0"/>
              </a:rPr>
              <a:t>Fall Membership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'Membership Record'!$E$1</c:f>
              <c:strCache>
                <c:ptCount val="1"/>
                <c:pt idx="0">
                  <c:v>FALL MEMBERSHIP</c:v>
                </c:pt>
              </c:strCache>
            </c:strRef>
          </c:tx>
          <c:spPr>
            <a:solidFill>
              <a:prstClr val="black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037B-40B5-9AD9-965293C4FA09}"/>
              </c:ext>
            </c:extLst>
          </c:dPt>
          <c:dLbls>
            <c:dLbl>
              <c:idx val="0"/>
              <c:spPr/>
              <c:txPr>
                <a:bodyPr/>
                <a:lstStyle/>
                <a:p>
                  <a:pPr>
                    <a:defRPr baseline="0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37B-40B5-9AD9-965293C4FA09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'Membership Record'!$E$5:$E$6</c:f>
              <c:strCache>
                <c:ptCount val="2"/>
                <c:pt idx="0">
                  <c:v>Candidates</c:v>
                </c:pt>
                <c:pt idx="1">
                  <c:v>Initiates</c:v>
                </c:pt>
              </c:strCache>
            </c:strRef>
          </c:cat>
          <c:val>
            <c:numRef>
              <c:f>'Membership Record'!$F$5:$F$6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7B-40B5-9AD9-965293C4FA0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9048304"/>
        <c:axId val="1449048848"/>
      </c:barChart>
      <c:catAx>
        <c:axId val="14490483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9048848"/>
        <c:crosses val="autoZero"/>
        <c:auto val="1"/>
        <c:lblAlgn val="ctr"/>
        <c:lblOffset val="100"/>
        <c:noMultiLvlLbl val="0"/>
      </c:catAx>
      <c:valAx>
        <c:axId val="1449048848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one"/>
        <c:crossAx val="1449048304"/>
        <c:crosses val="autoZero"/>
        <c:crossBetween val="between"/>
      </c:valAx>
      <c:spPr>
        <a:noFill/>
        <a:ln w="25400">
          <a:noFill/>
        </a:ln>
        <a:scene3d>
          <a:camera prst="orthographicFront"/>
          <a:lightRig rig="threePt" dir="t"/>
        </a:scene3d>
        <a:sp3d/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/>
              <a:t>Spr. Membership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'Membership Record'!$N$1</c:f>
              <c:strCache>
                <c:ptCount val="1"/>
                <c:pt idx="0">
                  <c:v>SPRING MEMBERSHIP</c:v>
                </c:pt>
              </c:strCache>
            </c:strRef>
          </c:tx>
          <c:spPr>
            <a:solidFill>
              <a:prstClr val="black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C214-4943-97FA-A51D509208D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'Membership Record'!$N$5:$N$6</c:f>
              <c:strCache>
                <c:ptCount val="2"/>
                <c:pt idx="0">
                  <c:v>Candidates</c:v>
                </c:pt>
                <c:pt idx="1">
                  <c:v>Initiates</c:v>
                </c:pt>
              </c:strCache>
            </c:strRef>
          </c:cat>
          <c:val>
            <c:numRef>
              <c:f>'Membership Record'!$O$5:$O$6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214-4943-97FA-A51D509208D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axId val="1449061360"/>
        <c:axId val="1449051024"/>
      </c:barChart>
      <c:catAx>
        <c:axId val="14490613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9051024"/>
        <c:crosses val="autoZero"/>
        <c:auto val="1"/>
        <c:lblAlgn val="ctr"/>
        <c:lblOffset val="100"/>
        <c:noMultiLvlLbl val="0"/>
      </c:catAx>
      <c:valAx>
        <c:axId val="1449051024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449061360"/>
        <c:crosses val="autoZero"/>
        <c:crossBetween val="between"/>
      </c:valAx>
      <c:spPr>
        <a:noFill/>
        <a:ln w="25400">
          <a:noFill/>
        </a:ln>
        <a:scene3d>
          <a:camera prst="orthographicFront"/>
          <a:lightRig rig="threePt" dir="t"/>
        </a:scene3d>
        <a:sp3d/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/>
              <a:t>Class Distribution </a:t>
            </a:r>
          </a:p>
          <a:p>
            <a:pPr>
              <a:defRPr baseline="0">
                <a:latin typeface="Times New Roman" pitchFamily="18" charset="0"/>
              </a:defRPr>
            </a:pPr>
            <a:r>
              <a:rPr lang="en-US"/>
              <a:t>Year to Date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'Membership Record'!$B$1</c:f>
              <c:strCache>
                <c:ptCount val="1"/>
                <c:pt idx="0">
                  <c:v>ANNUAL MEMBERSHIP</c:v>
                </c:pt>
              </c:strCache>
            </c:strRef>
          </c:tx>
          <c:spPr>
            <a:solidFill>
              <a:schemeClr val="bg1">
                <a:lumMod val="75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1-3AED-4F17-BA03-60E807E9F26D}"/>
              </c:ext>
            </c:extLst>
          </c:dPt>
          <c:dPt>
            <c:idx val="1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3-3AED-4F17-BA03-60E807E9F26D}"/>
              </c:ext>
            </c:extLst>
          </c:dPt>
          <c:dPt>
            <c:idx val="2"/>
            <c:invertIfNegative val="0"/>
            <c:bubble3D val="0"/>
            <c:spPr>
              <a:solidFill>
                <a:srgbClr val="FFFF00"/>
              </a:solidFill>
            </c:spPr>
            <c:extLst>
              <c:ext xmlns:c16="http://schemas.microsoft.com/office/drawing/2014/chart" uri="{C3380CC4-5D6E-409C-BE32-E72D297353CC}">
                <c16:uniqueId val="{00000005-3AED-4F17-BA03-60E807E9F26D}"/>
              </c:ext>
            </c:extLst>
          </c:dPt>
          <c:dPt>
            <c:idx val="3"/>
            <c:invertIfNegative val="0"/>
            <c:bubble3D val="0"/>
            <c:spPr>
              <a:solidFill>
                <a:schemeClr val="tx1"/>
              </a:solidFill>
            </c:spPr>
            <c:extLst>
              <c:ext xmlns:c16="http://schemas.microsoft.com/office/drawing/2014/chart" uri="{C3380CC4-5D6E-409C-BE32-E72D297353CC}">
                <c16:uniqueId val="{00000007-3AED-4F17-BA03-60E807E9F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latin typeface="Times New Roman" pitchFamily="18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'Membership Record'!$B$3:$C$6</c:f>
              <c:strCache>
                <c:ptCount val="4"/>
                <c:pt idx="0">
                  <c:v>Freshmen</c:v>
                </c:pt>
                <c:pt idx="1">
                  <c:v>Sophomore</c:v>
                </c:pt>
                <c:pt idx="2">
                  <c:v>Junior</c:v>
                </c:pt>
                <c:pt idx="3">
                  <c:v>Senior</c:v>
                </c:pt>
              </c:strCache>
            </c:strRef>
          </c:cat>
          <c:val>
            <c:numRef>
              <c:f>'Membership Record'!$D$3:$D$6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AED-4F17-BA03-60E807E9F2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1449049392"/>
        <c:axId val="1449054288"/>
      </c:barChart>
      <c:catAx>
        <c:axId val="144904939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9054288"/>
        <c:crosses val="autoZero"/>
        <c:auto val="1"/>
        <c:lblAlgn val="ctr"/>
        <c:lblOffset val="100"/>
        <c:noMultiLvlLbl val="0"/>
      </c:catAx>
      <c:valAx>
        <c:axId val="144905428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one"/>
        <c:crossAx val="1449049392"/>
        <c:crosses val="autoZero"/>
        <c:crossBetween val="between"/>
      </c:valAx>
      <c:spPr>
        <a:noFill/>
        <a:ln w="25400">
          <a:noFill/>
        </a:ln>
        <a:scene3d>
          <a:camera prst="orthographicFront"/>
          <a:lightRig rig="threePt" dir="t"/>
        </a:scene3d>
        <a:sp3d/>
      </c:spPr>
    </c:plotArea>
    <c:plotVisOnly val="1"/>
    <c:dispBlanksAs val="gap"/>
    <c:showDLblsOverMax val="0"/>
  </c:chart>
  <c:spPr>
    <a:ln>
      <a:noFill/>
    </a:ln>
  </c:spPr>
  <c:printSettings>
    <c:headerFooter/>
    <c:pageMargins b="0.75000000000000122" l="0.70000000000000062" r="0.70000000000000062" t="0.7500000000000012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Year to Date Dues Collections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v>Collected To Date</c:v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BUDGET!$A$7</c:f>
              <c:strCache>
                <c:ptCount val="1"/>
                <c:pt idx="0">
                  <c:v>   Chapter Member Dues</c:v>
                </c:pt>
              </c:strCache>
            </c:strRef>
          </c:cat>
          <c:val>
            <c:numRef>
              <c:f>BUDGET!$H$10</c:f>
              <c:numCache>
                <c:formatCode>_("$"* #,##0.00_);_("$"* \(#,##0.00\);_("$"* "-"??_);_(@_)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46-49E4-BF9F-AB25D521BCE4}"/>
            </c:ext>
          </c:extLst>
        </c:ser>
        <c:ser>
          <c:idx val="0"/>
          <c:order val="1"/>
          <c:tx>
            <c:v>Budgeted To Date</c:v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rgbClr val="FFFF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BUDGET!$A$7</c:f>
              <c:strCache>
                <c:ptCount val="1"/>
                <c:pt idx="0">
                  <c:v>   Chapter Member Dues</c:v>
                </c:pt>
              </c:strCache>
            </c:strRef>
          </c:cat>
          <c:val>
            <c:numRef>
              <c:f>BUDGET!$D$10</c:f>
              <c:numCache>
                <c:formatCode>_("$"* #,##0.00_);_("$"* \(#,##0.00\);_("$"* "-"??_);_(@_)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46-49E4-BF9F-AB25D521BC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49047760"/>
        <c:axId val="1449049936"/>
      </c:barChart>
      <c:catAx>
        <c:axId val="144904776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9049936"/>
        <c:crosses val="autoZero"/>
        <c:auto val="1"/>
        <c:lblAlgn val="ctr"/>
        <c:lblOffset val="100"/>
        <c:noMultiLvlLbl val="0"/>
      </c:catAx>
      <c:valAx>
        <c:axId val="1449049936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1449047760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Year to Date Collections - House/Kitchen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v>Collected To Date</c:v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(BUDGET!$A$26,BUDGET!$A$43)</c:f>
              <c:strCache>
                <c:ptCount val="2"/>
                <c:pt idx="0">
                  <c:v>   Rent (members living in house)</c:v>
                </c:pt>
                <c:pt idx="1">
                  <c:v>Meal Plan/Kitchen Fee</c:v>
                </c:pt>
              </c:strCache>
            </c:strRef>
          </c:cat>
          <c:val>
            <c:numRef>
              <c:f>(BUDGET!$H$26,BUDGET!$H$43)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6C-48C3-8F36-C1DFC859F80D}"/>
            </c:ext>
          </c:extLst>
        </c:ser>
        <c:ser>
          <c:idx val="2"/>
          <c:order val="1"/>
          <c:tx>
            <c:v>Budgeted To Date</c:v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rgbClr val="FFFF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(BUDGET!$A$26,BUDGET!$A$43)</c:f>
              <c:strCache>
                <c:ptCount val="2"/>
                <c:pt idx="0">
                  <c:v>   Rent (members living in house)</c:v>
                </c:pt>
                <c:pt idx="1">
                  <c:v>Meal Plan/Kitchen Fee</c:v>
                </c:pt>
              </c:strCache>
            </c:strRef>
          </c:cat>
          <c:val>
            <c:numRef>
              <c:f>(BUDGET!$D$26,BUDGET!$D$43)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6C-48C3-8F36-C1DFC859F8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49052112"/>
        <c:axId val="1449055376"/>
      </c:barChart>
      <c:catAx>
        <c:axId val="144905211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9055376"/>
        <c:crosses val="autoZero"/>
        <c:auto val="1"/>
        <c:lblAlgn val="ctr"/>
        <c:lblOffset val="100"/>
        <c:noMultiLvlLbl val="0"/>
      </c:catAx>
      <c:valAx>
        <c:axId val="1449055376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144905211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Budgeted Expenses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1"/>
          <c:order val="0"/>
          <c:tx>
            <c:strRef>
              <c:f>BUDGET!$A$103</c:f>
              <c:strCache>
                <c:ptCount val="1"/>
                <c:pt idx="0">
                  <c:v>Total Functional Expenses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BUDGET!$B$2:$C$2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BUDGET!$B$103:$C$103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55-4D34-8F9D-DB872DCB7FF4}"/>
            </c:ext>
          </c:extLst>
        </c:ser>
        <c:ser>
          <c:idx val="0"/>
          <c:order val="1"/>
          <c:tx>
            <c:strRef>
              <c:f>BUDGET!$A$72</c:f>
              <c:strCache>
                <c:ptCount val="1"/>
                <c:pt idx="0">
                  <c:v>Total Operational Expenses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solidFill>
                <a:schemeClr val="tx1"/>
              </a:solidFill>
            </c:spPr>
            <c:txPr>
              <a:bodyPr/>
              <a:lstStyle/>
              <a:p>
                <a:pPr>
                  <a:defRPr baseline="0">
                    <a:solidFill>
                      <a:srgbClr val="FFFF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BUDGET!$B$2:$C$2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BUDGET!$B$72:$C$72</c:f>
              <c:numCache>
                <c:formatCode>_("$"* #,##0.00_);_("$"* \(#,##0.00\);_("$"* "-"??_);_(@_)</c:formatCode>
                <c:ptCount val="2"/>
                <c:pt idx="0">
                  <c:v>1400</c:v>
                </c:pt>
                <c:pt idx="1">
                  <c:v>1400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455-4D34-8F9D-DB872DCB7FF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49060272"/>
        <c:axId val="1449057008"/>
      </c:barChart>
      <c:catAx>
        <c:axId val="1449060272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49057008"/>
        <c:crosses val="autoZero"/>
        <c:auto val="1"/>
        <c:lblAlgn val="ctr"/>
        <c:lblOffset val="100"/>
        <c:noMultiLvlLbl val="0"/>
      </c:catAx>
      <c:valAx>
        <c:axId val="1449057008"/>
        <c:scaling>
          <c:orientation val="minMax"/>
        </c:scaling>
        <c:delete val="1"/>
        <c:axPos val="l"/>
        <c:numFmt formatCode="0%" sourceLinked="1"/>
        <c:majorTickMark val="none"/>
        <c:minorTickMark val="none"/>
        <c:tickLblPos val="none"/>
        <c:crossAx val="1449060272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Actual Expenses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BUDGET!$A$103</c:f>
              <c:strCache>
                <c:ptCount val="1"/>
                <c:pt idx="0">
                  <c:v>Total Functional Expenses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ysClr val="windowText" lastClr="0000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BUDGET!$F$2:$G$2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BUDGET!$F$103:$G$103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62-4CA9-9309-CD29F54D6B40}"/>
            </c:ext>
          </c:extLst>
        </c:ser>
        <c:ser>
          <c:idx val="1"/>
          <c:order val="1"/>
          <c:tx>
            <c:strRef>
              <c:f>BUDGET!$A$72</c:f>
              <c:strCache>
                <c:ptCount val="1"/>
                <c:pt idx="0">
                  <c:v>Total Operational Expenses</c:v>
                </c:pt>
              </c:strCache>
            </c:strRef>
          </c:tx>
          <c:spPr>
            <a:solidFill>
              <a:schemeClr val="tx1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rgbClr val="FFFF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BUDGET!$F$2:$G$2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BUDGET!$F$72:$G$72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562-4CA9-9309-CD29F54D6B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265525616"/>
        <c:axId val="1265521264"/>
      </c:barChart>
      <c:catAx>
        <c:axId val="12655256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265521264"/>
        <c:crosses val="autoZero"/>
        <c:auto val="1"/>
        <c:lblAlgn val="ctr"/>
        <c:lblOffset val="100"/>
        <c:noMultiLvlLbl val="0"/>
      </c:catAx>
      <c:valAx>
        <c:axId val="1265521264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1265525616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House &amp; Kitchen </a:t>
            </a:r>
          </a:p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Budgeted Expenses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BUDGET!$A$143</c:f>
              <c:strCache>
                <c:ptCount val="1"/>
                <c:pt idx="0">
                  <c:v>TOTAL HOUSE OPERATIONS EXPENSES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BUDGET!$B$2:$C$2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BUDGET!$B$143:$C$143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9DF-4F12-BC76-6361F1723DF1}"/>
            </c:ext>
          </c:extLst>
        </c:ser>
        <c:ser>
          <c:idx val="1"/>
          <c:order val="1"/>
          <c:tx>
            <c:strRef>
              <c:f>BUDGET!$A$163</c:f>
              <c:strCache>
                <c:ptCount val="1"/>
                <c:pt idx="0">
                  <c:v>TOTAL KITCHEN OPERATIONS EXPENSES</c:v>
                </c:pt>
              </c:strCache>
            </c:strRef>
          </c:tx>
          <c:spPr>
            <a:solidFill>
              <a:prstClr val="black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rgbClr val="FFFF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BUDGET!$B$2:$C$2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BUDGET!$B$163:$C$163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DF-4F12-BC76-6361F1723DF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229282048"/>
        <c:axId val="1451155200"/>
      </c:barChart>
      <c:catAx>
        <c:axId val="122928204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51155200"/>
        <c:crosses val="autoZero"/>
        <c:auto val="1"/>
        <c:lblAlgn val="ctr"/>
        <c:lblOffset val="100"/>
        <c:noMultiLvlLbl val="0"/>
      </c:catAx>
      <c:valAx>
        <c:axId val="1451155200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122928204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House &amp; Kitchen </a:t>
            </a:r>
          </a:p>
          <a:p>
            <a:pPr>
              <a:defRPr baseline="0">
                <a:latin typeface="Times New Roman" pitchFamily="18" charset="0"/>
              </a:defRPr>
            </a:pPr>
            <a:r>
              <a:rPr lang="en-US" baseline="0">
                <a:latin typeface="Times New Roman" pitchFamily="18" charset="0"/>
              </a:rPr>
              <a:t>Actual Expenses</a:t>
            </a:r>
          </a:p>
        </c:rich>
      </c:tx>
      <c:overlay val="0"/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BUDGET!$A$143</c:f>
              <c:strCache>
                <c:ptCount val="1"/>
                <c:pt idx="0">
                  <c:v>TOTAL HOUSE OPERATIONS EXPENSES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BUDGET!$F$2:$G$2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BUDGET!$F$143:$G$143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7-4BCF-8325-A818D51F1B53}"/>
            </c:ext>
          </c:extLst>
        </c:ser>
        <c:ser>
          <c:idx val="1"/>
          <c:order val="1"/>
          <c:tx>
            <c:strRef>
              <c:f>BUDGET!$A$163</c:f>
              <c:strCache>
                <c:ptCount val="1"/>
                <c:pt idx="0">
                  <c:v>TOTAL KITCHEN OPERATIONS EXPENSES</c:v>
                </c:pt>
              </c:strCache>
            </c:strRef>
          </c:tx>
          <c:spPr>
            <a:solidFill>
              <a:prstClr val="black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aseline="0">
                    <a:solidFill>
                      <a:srgbClr val="FFFF00"/>
                    </a:solidFill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BUDGET!$F$2:$G$2</c:f>
              <c:strCache>
                <c:ptCount val="2"/>
                <c:pt idx="0">
                  <c:v>FALL</c:v>
                </c:pt>
                <c:pt idx="1">
                  <c:v>SPRING</c:v>
                </c:pt>
              </c:strCache>
            </c:strRef>
          </c:cat>
          <c:val>
            <c:numRef>
              <c:f>BUDGET!$F$163:$G$163</c:f>
              <c:numCache>
                <c:formatCode>_("$"* #,##0.00_);_("$"* \(#,##0.00\);_("$"* "-"??_);_(@_)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87-4BCF-8325-A818D51F1B5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451161728"/>
        <c:axId val="1451156288"/>
      </c:barChart>
      <c:catAx>
        <c:axId val="145116172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451156288"/>
        <c:crosses val="autoZero"/>
        <c:auto val="1"/>
        <c:lblAlgn val="ctr"/>
        <c:lblOffset val="100"/>
        <c:noMultiLvlLbl val="0"/>
      </c:catAx>
      <c:valAx>
        <c:axId val="1451156288"/>
        <c:scaling>
          <c:orientation val="minMax"/>
        </c:scaling>
        <c:delete val="1"/>
        <c:axPos val="l"/>
        <c:numFmt formatCode="0%" sourceLinked="1"/>
        <c:majorTickMark val="out"/>
        <c:minorTickMark val="none"/>
        <c:tickLblPos val="none"/>
        <c:crossAx val="145116172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46037</xdr:colOff>
      <xdr:row>2</xdr:row>
      <xdr:rowOff>133350</xdr:rowOff>
    </xdr:from>
    <xdr:to>
      <xdr:col>3</xdr:col>
      <xdr:colOff>500063</xdr:colOff>
      <xdr:row>14</xdr:row>
      <xdr:rowOff>142875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15875</xdr:colOff>
      <xdr:row>2</xdr:row>
      <xdr:rowOff>134938</xdr:rowOff>
    </xdr:from>
    <xdr:to>
      <xdr:col>7</xdr:col>
      <xdr:colOff>642938</xdr:colOff>
      <xdr:row>14</xdr:row>
      <xdr:rowOff>142876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31750</xdr:colOff>
      <xdr:row>2</xdr:row>
      <xdr:rowOff>134938</xdr:rowOff>
    </xdr:from>
    <xdr:to>
      <xdr:col>12</xdr:col>
      <xdr:colOff>657225</xdr:colOff>
      <xdr:row>14</xdr:row>
      <xdr:rowOff>142876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79374</xdr:colOff>
      <xdr:row>22</xdr:row>
      <xdr:rowOff>127000</xdr:rowOff>
    </xdr:from>
    <xdr:to>
      <xdr:col>6</xdr:col>
      <xdr:colOff>261937</xdr:colOff>
      <xdr:row>41</xdr:row>
      <xdr:rowOff>79375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12702</xdr:colOff>
      <xdr:row>43</xdr:row>
      <xdr:rowOff>111125</xdr:rowOff>
    </xdr:from>
    <xdr:to>
      <xdr:col>12</xdr:col>
      <xdr:colOff>555625</xdr:colOff>
      <xdr:row>63</xdr:row>
      <xdr:rowOff>47625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103188</xdr:colOff>
      <xdr:row>68</xdr:row>
      <xdr:rowOff>156369</xdr:rowOff>
    </xdr:from>
    <xdr:to>
      <xdr:col>6</xdr:col>
      <xdr:colOff>254000</xdr:colOff>
      <xdr:row>86</xdr:row>
      <xdr:rowOff>42069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7</xdr:col>
      <xdr:colOff>95249</xdr:colOff>
      <xdr:row>68</xdr:row>
      <xdr:rowOff>150812</xdr:rowOff>
    </xdr:from>
    <xdr:to>
      <xdr:col>12</xdr:col>
      <xdr:colOff>492125</xdr:colOff>
      <xdr:row>86</xdr:row>
      <xdr:rowOff>36512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66675</xdr:colOff>
      <xdr:row>106</xdr:row>
      <xdr:rowOff>28575</xdr:rowOff>
    </xdr:from>
    <xdr:to>
      <xdr:col>6</xdr:col>
      <xdr:colOff>466725</xdr:colOff>
      <xdr:row>121</xdr:row>
      <xdr:rowOff>95250</xdr:rowOff>
    </xdr:to>
    <xdr:graphicFrame macro="">
      <xdr:nvGraphicFramePr>
        <xdr:cNvPr id="9" name="Char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7</xdr:col>
      <xdr:colOff>57150</xdr:colOff>
      <xdr:row>106</xdr:row>
      <xdr:rowOff>28575</xdr:rowOff>
    </xdr:from>
    <xdr:to>
      <xdr:col>12</xdr:col>
      <xdr:colOff>428625</xdr:colOff>
      <xdr:row>121</xdr:row>
      <xdr:rowOff>95250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42"/>
  <sheetViews>
    <sheetView showGridLines="0" tabSelected="1" zoomScaleNormal="100" workbookViewId="0">
      <selection sqref="A1:O1"/>
    </sheetView>
  </sheetViews>
  <sheetFormatPr defaultColWidth="9.140625" defaultRowHeight="15" x14ac:dyDescent="0.25"/>
  <cols>
    <col min="1" max="1" width="9.140625" style="130"/>
    <col min="2" max="2" width="10.140625" style="130" customWidth="1"/>
    <col min="3" max="3" width="9.28515625" style="130" customWidth="1"/>
    <col min="4" max="14" width="9.140625" style="130"/>
    <col min="15" max="15" width="11.85546875" style="130" bestFit="1" customWidth="1"/>
    <col min="16" max="16" width="0" style="130" hidden="1" customWidth="1"/>
    <col min="17" max="17" width="3.28515625" style="130" customWidth="1"/>
    <col min="18" max="18" width="8.5703125" style="130" customWidth="1"/>
    <col min="19" max="16384" width="9.140625" style="130"/>
  </cols>
  <sheetData>
    <row r="1" spans="1:15" x14ac:dyDescent="0.25">
      <c r="A1" s="858" t="s">
        <v>639</v>
      </c>
      <c r="B1" s="859"/>
      <c r="C1" s="859"/>
      <c r="D1" s="859"/>
      <c r="E1" s="859"/>
      <c r="F1" s="859"/>
      <c r="G1" s="859"/>
      <c r="H1" s="859"/>
      <c r="I1" s="859"/>
      <c r="J1" s="859"/>
      <c r="K1" s="859"/>
      <c r="L1" s="859"/>
      <c r="M1" s="859"/>
      <c r="N1" s="859"/>
      <c r="O1" s="859"/>
    </row>
    <row r="2" spans="1:15" x14ac:dyDescent="0.25">
      <c r="A2" s="820"/>
      <c r="B2" s="820"/>
      <c r="C2" s="820"/>
      <c r="D2" s="820"/>
      <c r="E2" s="820"/>
      <c r="F2" s="820"/>
      <c r="G2" s="820"/>
      <c r="H2" s="820"/>
      <c r="I2" s="820"/>
      <c r="J2" s="820"/>
      <c r="K2" s="820"/>
      <c r="L2" s="820"/>
      <c r="M2" s="820"/>
    </row>
    <row r="3" spans="1:15" x14ac:dyDescent="0.25">
      <c r="A3" s="821" t="s">
        <v>457</v>
      </c>
      <c r="B3" s="820"/>
      <c r="C3" s="820"/>
      <c r="D3" s="820"/>
      <c r="E3" s="820"/>
      <c r="F3" s="820"/>
      <c r="G3" s="820"/>
      <c r="H3" s="820"/>
      <c r="I3" s="820"/>
      <c r="J3" s="820"/>
      <c r="K3" s="820"/>
      <c r="L3" s="820"/>
      <c r="M3" s="820"/>
    </row>
    <row r="4" spans="1:15" x14ac:dyDescent="0.25">
      <c r="A4" s="816" t="s">
        <v>657</v>
      </c>
      <c r="B4" s="820"/>
      <c r="C4" s="820"/>
      <c r="D4" s="820"/>
      <c r="E4" s="820"/>
      <c r="F4" s="820"/>
      <c r="G4" s="820"/>
      <c r="H4" s="820"/>
      <c r="I4" s="820"/>
      <c r="J4" s="820"/>
      <c r="K4" s="820"/>
      <c r="L4" s="820"/>
      <c r="M4" s="820"/>
    </row>
    <row r="5" spans="1:15" x14ac:dyDescent="0.25">
      <c r="A5" s="816" t="s">
        <v>647</v>
      </c>
      <c r="B5" s="820"/>
      <c r="C5" s="820"/>
      <c r="D5" s="820"/>
      <c r="E5" s="820"/>
      <c r="F5" s="820"/>
      <c r="G5" s="820"/>
      <c r="H5" s="820"/>
      <c r="I5" s="820"/>
      <c r="J5" s="820"/>
      <c r="K5" s="820"/>
      <c r="L5" s="820"/>
      <c r="M5" s="820"/>
    </row>
    <row r="6" spans="1:15" x14ac:dyDescent="0.25">
      <c r="A6" s="816" t="s">
        <v>617</v>
      </c>
      <c r="B6" s="820"/>
      <c r="C6" s="820"/>
      <c r="D6" s="820"/>
      <c r="E6" s="820"/>
      <c r="F6" s="820"/>
      <c r="G6" s="820"/>
      <c r="H6" s="820"/>
      <c r="I6" s="820"/>
      <c r="J6" s="820"/>
      <c r="K6" s="820"/>
      <c r="L6" s="820"/>
      <c r="M6" s="820"/>
    </row>
    <row r="7" spans="1:15" x14ac:dyDescent="0.25">
      <c r="A7" s="807"/>
      <c r="B7" s="820"/>
      <c r="C7" s="820"/>
      <c r="D7" s="820"/>
      <c r="E7" s="820"/>
      <c r="F7" s="820"/>
      <c r="G7" s="820"/>
      <c r="H7" s="820"/>
      <c r="I7" s="820"/>
      <c r="J7" s="820"/>
      <c r="K7" s="820"/>
      <c r="L7" s="820"/>
      <c r="M7" s="820"/>
    </row>
    <row r="8" spans="1:15" x14ac:dyDescent="0.25">
      <c r="A8" s="821" t="s">
        <v>461</v>
      </c>
      <c r="B8" s="820"/>
      <c r="C8" s="820"/>
      <c r="D8" s="820"/>
      <c r="E8" s="820"/>
      <c r="F8" s="820"/>
      <c r="G8" s="820"/>
      <c r="H8" s="820"/>
      <c r="I8" s="820"/>
      <c r="J8" s="820"/>
      <c r="K8" s="820"/>
      <c r="L8" s="820"/>
      <c r="M8" s="820"/>
    </row>
    <row r="9" spans="1:15" x14ac:dyDescent="0.25">
      <c r="A9" s="816" t="s">
        <v>618</v>
      </c>
      <c r="B9" s="820"/>
      <c r="C9" s="820"/>
      <c r="D9" s="820"/>
      <c r="E9" s="820"/>
      <c r="F9" s="820"/>
      <c r="G9" s="820"/>
      <c r="H9" s="820"/>
      <c r="I9" s="820"/>
      <c r="J9" s="820"/>
      <c r="K9" s="820"/>
      <c r="L9" s="820"/>
      <c r="M9" s="820"/>
    </row>
    <row r="10" spans="1:15" x14ac:dyDescent="0.25">
      <c r="A10" s="816" t="s">
        <v>619</v>
      </c>
      <c r="B10" s="820"/>
      <c r="C10" s="820"/>
      <c r="D10" s="820"/>
      <c r="E10" s="820"/>
      <c r="F10" s="820"/>
      <c r="G10" s="820"/>
      <c r="H10" s="820"/>
      <c r="I10" s="820"/>
      <c r="J10" s="820"/>
      <c r="K10" s="820"/>
      <c r="L10" s="820"/>
      <c r="M10" s="820"/>
    </row>
    <row r="11" spans="1:15" x14ac:dyDescent="0.25">
      <c r="A11" s="816" t="s">
        <v>620</v>
      </c>
      <c r="B11" s="820"/>
      <c r="C11" s="820"/>
      <c r="D11" s="820"/>
      <c r="E11" s="820"/>
      <c r="F11" s="820"/>
      <c r="G11" s="820"/>
      <c r="H11" s="820"/>
      <c r="I11" s="820"/>
      <c r="J11" s="820"/>
      <c r="K11" s="820"/>
      <c r="L11" s="820"/>
      <c r="M11" s="820"/>
    </row>
    <row r="12" spans="1:15" x14ac:dyDescent="0.25">
      <c r="A12" s="816" t="s">
        <v>648</v>
      </c>
      <c r="B12" s="820"/>
      <c r="C12" s="820"/>
      <c r="D12" s="820"/>
      <c r="E12" s="820"/>
      <c r="F12" s="820"/>
      <c r="G12" s="820"/>
      <c r="H12" s="820"/>
      <c r="I12" s="820"/>
      <c r="J12" s="820"/>
      <c r="K12" s="820"/>
      <c r="L12" s="820"/>
      <c r="M12" s="820"/>
    </row>
    <row r="13" spans="1:15" x14ac:dyDescent="0.25">
      <c r="A13" s="807"/>
      <c r="B13" s="820"/>
      <c r="C13" s="820"/>
      <c r="D13" s="820"/>
      <c r="E13" s="820"/>
      <c r="F13" s="820"/>
      <c r="G13" s="820"/>
      <c r="H13" s="820"/>
      <c r="I13" s="820"/>
      <c r="J13" s="820"/>
      <c r="K13" s="820"/>
      <c r="L13" s="820"/>
      <c r="M13" s="820"/>
    </row>
    <row r="14" spans="1:15" x14ac:dyDescent="0.25">
      <c r="A14" s="821" t="s">
        <v>475</v>
      </c>
      <c r="B14" s="820"/>
      <c r="C14" s="820"/>
      <c r="D14" s="820"/>
      <c r="E14" s="820"/>
      <c r="F14" s="820"/>
      <c r="G14" s="820"/>
      <c r="H14" s="820"/>
      <c r="I14" s="820"/>
      <c r="J14" s="820"/>
      <c r="K14" s="820"/>
      <c r="L14" s="820"/>
      <c r="M14" s="820"/>
    </row>
    <row r="15" spans="1:15" x14ac:dyDescent="0.25">
      <c r="A15" s="816" t="s">
        <v>621</v>
      </c>
      <c r="B15" s="820"/>
      <c r="C15" s="820"/>
      <c r="D15" s="820"/>
      <c r="E15" s="820"/>
      <c r="F15" s="820"/>
      <c r="G15" s="820"/>
      <c r="H15" s="820"/>
      <c r="I15" s="820"/>
      <c r="J15" s="820"/>
      <c r="K15" s="820"/>
      <c r="L15" s="820"/>
      <c r="M15" s="820"/>
    </row>
    <row r="16" spans="1:15" x14ac:dyDescent="0.25">
      <c r="A16" s="816" t="s">
        <v>652</v>
      </c>
      <c r="B16" s="820"/>
      <c r="C16" s="820"/>
      <c r="D16" s="820"/>
      <c r="E16" s="820"/>
      <c r="F16" s="820"/>
      <c r="G16" s="820"/>
      <c r="H16" s="820"/>
      <c r="I16" s="820"/>
      <c r="J16" s="820"/>
      <c r="K16" s="820"/>
      <c r="L16" s="820"/>
      <c r="M16" s="820"/>
    </row>
    <row r="17" spans="1:13" x14ac:dyDescent="0.25">
      <c r="A17" s="816" t="s">
        <v>649</v>
      </c>
      <c r="B17" s="820"/>
      <c r="C17" s="820"/>
      <c r="D17" s="820"/>
      <c r="E17" s="820"/>
      <c r="F17" s="820"/>
      <c r="G17" s="820"/>
      <c r="H17" s="820"/>
      <c r="I17" s="820"/>
      <c r="J17" s="820"/>
      <c r="K17" s="820"/>
      <c r="L17" s="820"/>
      <c r="M17" s="820"/>
    </row>
    <row r="18" spans="1:13" x14ac:dyDescent="0.25">
      <c r="A18" s="807"/>
      <c r="B18" s="820"/>
      <c r="C18" s="820"/>
      <c r="D18" s="820"/>
      <c r="E18" s="820"/>
      <c r="F18" s="820"/>
      <c r="G18" s="820"/>
      <c r="H18" s="820"/>
      <c r="I18" s="820"/>
      <c r="J18" s="820"/>
      <c r="K18" s="820"/>
      <c r="L18" s="820"/>
      <c r="M18" s="820"/>
    </row>
    <row r="19" spans="1:13" x14ac:dyDescent="0.25">
      <c r="A19" s="821" t="s">
        <v>622</v>
      </c>
      <c r="B19" s="820"/>
      <c r="C19" s="820"/>
      <c r="D19" s="820"/>
      <c r="E19" s="820"/>
      <c r="F19" s="820"/>
      <c r="G19" s="820"/>
      <c r="H19" s="820"/>
      <c r="I19" s="820"/>
      <c r="J19" s="820"/>
      <c r="K19" s="820"/>
      <c r="L19" s="820"/>
      <c r="M19" s="820"/>
    </row>
    <row r="20" spans="1:13" x14ac:dyDescent="0.25">
      <c r="A20" s="816" t="s">
        <v>650</v>
      </c>
      <c r="B20" s="820"/>
      <c r="C20" s="820"/>
      <c r="D20" s="820"/>
      <c r="E20" s="820"/>
      <c r="F20" s="820"/>
      <c r="G20" s="820"/>
      <c r="H20" s="820"/>
      <c r="I20" s="820"/>
      <c r="J20" s="820"/>
      <c r="K20" s="820"/>
      <c r="L20" s="820"/>
      <c r="M20" s="820"/>
    </row>
    <row r="21" spans="1:13" x14ac:dyDescent="0.25">
      <c r="A21" s="816" t="s">
        <v>651</v>
      </c>
      <c r="B21" s="820"/>
      <c r="C21" s="820"/>
      <c r="D21" s="820"/>
      <c r="E21" s="820"/>
      <c r="F21" s="820"/>
      <c r="G21" s="820"/>
      <c r="H21" s="820"/>
      <c r="I21" s="820"/>
      <c r="J21" s="820"/>
      <c r="K21" s="820"/>
      <c r="L21" s="820"/>
      <c r="M21" s="820"/>
    </row>
    <row r="22" spans="1:13" x14ac:dyDescent="0.25">
      <c r="A22" s="816" t="s">
        <v>623</v>
      </c>
      <c r="B22" s="820"/>
      <c r="C22" s="820"/>
      <c r="D22" s="820"/>
      <c r="E22" s="820"/>
      <c r="F22" s="820"/>
      <c r="G22" s="820"/>
      <c r="H22" s="820"/>
      <c r="I22" s="820"/>
      <c r="J22" s="820"/>
      <c r="K22" s="820"/>
      <c r="L22" s="820"/>
      <c r="M22" s="820"/>
    </row>
    <row r="23" spans="1:13" x14ac:dyDescent="0.25">
      <c r="A23" s="816" t="s">
        <v>624</v>
      </c>
      <c r="B23" s="820"/>
      <c r="C23" s="820"/>
      <c r="D23" s="820"/>
      <c r="E23" s="820"/>
      <c r="F23" s="820"/>
      <c r="G23" s="820"/>
      <c r="H23" s="820"/>
      <c r="I23" s="820"/>
      <c r="J23" s="820"/>
      <c r="K23" s="820"/>
      <c r="L23" s="820"/>
      <c r="M23" s="820"/>
    </row>
    <row r="24" spans="1:13" x14ac:dyDescent="0.25">
      <c r="A24" s="816" t="s">
        <v>625</v>
      </c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820"/>
      <c r="M24" s="820"/>
    </row>
    <row r="25" spans="1:13" x14ac:dyDescent="0.25">
      <c r="A25" s="807"/>
      <c r="B25" s="820"/>
      <c r="C25" s="820"/>
      <c r="D25" s="820"/>
      <c r="E25" s="820"/>
      <c r="F25" s="820"/>
      <c r="G25" s="820"/>
      <c r="H25" s="820"/>
      <c r="I25" s="820"/>
      <c r="J25" s="820"/>
      <c r="K25" s="820"/>
      <c r="L25" s="820"/>
      <c r="M25" s="820"/>
    </row>
    <row r="26" spans="1:13" x14ac:dyDescent="0.25">
      <c r="A26" s="821" t="s">
        <v>51</v>
      </c>
      <c r="B26" s="820"/>
      <c r="C26" s="820"/>
      <c r="D26" s="820"/>
      <c r="E26" s="820"/>
      <c r="F26" s="820"/>
      <c r="G26" s="820"/>
      <c r="H26" s="820"/>
      <c r="I26" s="820"/>
      <c r="J26" s="820"/>
      <c r="K26" s="820"/>
      <c r="L26" s="820"/>
      <c r="M26" s="820"/>
    </row>
    <row r="27" spans="1:13" x14ac:dyDescent="0.25">
      <c r="A27" s="816" t="s">
        <v>626</v>
      </c>
      <c r="B27" s="820"/>
      <c r="C27" s="820"/>
      <c r="D27" s="820"/>
      <c r="E27" s="820"/>
      <c r="F27" s="820"/>
      <c r="G27" s="820"/>
      <c r="H27" s="820"/>
      <c r="I27" s="820"/>
      <c r="J27" s="820"/>
      <c r="K27" s="820"/>
      <c r="L27" s="820"/>
      <c r="M27" s="820"/>
    </row>
    <row r="28" spans="1:13" x14ac:dyDescent="0.25">
      <c r="A28" s="816" t="s">
        <v>653</v>
      </c>
      <c r="B28" s="820"/>
      <c r="C28" s="820"/>
      <c r="D28" s="820"/>
      <c r="E28" s="820"/>
      <c r="F28" s="820"/>
      <c r="G28" s="820"/>
      <c r="H28" s="820"/>
      <c r="I28" s="820"/>
      <c r="J28" s="820"/>
      <c r="K28" s="820"/>
      <c r="L28" s="820"/>
      <c r="M28" s="820"/>
    </row>
    <row r="29" spans="1:13" x14ac:dyDescent="0.25">
      <c r="A29" s="816" t="s">
        <v>655</v>
      </c>
      <c r="B29" s="820"/>
      <c r="C29" s="820"/>
      <c r="D29" s="820"/>
      <c r="E29" s="820"/>
      <c r="F29" s="820"/>
      <c r="G29" s="820"/>
      <c r="H29" s="820"/>
      <c r="I29" s="820"/>
      <c r="J29" s="820"/>
      <c r="K29" s="820"/>
      <c r="L29" s="820"/>
      <c r="M29" s="820"/>
    </row>
    <row r="30" spans="1:13" x14ac:dyDescent="0.25">
      <c r="A30" s="816" t="s">
        <v>654</v>
      </c>
      <c r="B30" s="820"/>
      <c r="C30" s="820"/>
      <c r="D30" s="820"/>
      <c r="E30" s="820"/>
      <c r="F30" s="820"/>
      <c r="G30" s="820"/>
      <c r="H30" s="820"/>
      <c r="I30" s="820"/>
      <c r="J30" s="820"/>
      <c r="K30" s="820"/>
      <c r="L30" s="820"/>
      <c r="M30" s="820"/>
    </row>
    <row r="31" spans="1:13" x14ac:dyDescent="0.25">
      <c r="A31" s="807"/>
      <c r="B31" s="820"/>
      <c r="C31" s="820"/>
      <c r="D31" s="820"/>
      <c r="E31" s="820"/>
      <c r="F31" s="820"/>
      <c r="G31" s="820"/>
      <c r="H31" s="820"/>
      <c r="I31" s="820"/>
      <c r="J31" s="820"/>
      <c r="K31" s="820"/>
      <c r="L31" s="820"/>
      <c r="M31" s="820"/>
    </row>
    <row r="32" spans="1:13" x14ac:dyDescent="0.25">
      <c r="A32" s="821" t="s">
        <v>497</v>
      </c>
      <c r="B32" s="820"/>
      <c r="C32" s="820"/>
      <c r="D32" s="820"/>
      <c r="E32" s="820"/>
      <c r="F32" s="820"/>
      <c r="G32" s="820"/>
      <c r="H32" s="820"/>
      <c r="I32" s="820"/>
      <c r="J32" s="820"/>
      <c r="K32" s="820"/>
      <c r="L32" s="820"/>
      <c r="M32" s="820"/>
    </row>
    <row r="33" spans="1:13" x14ac:dyDescent="0.25">
      <c r="A33" s="816" t="s">
        <v>627</v>
      </c>
      <c r="B33" s="820"/>
      <c r="C33" s="820"/>
      <c r="D33" s="820"/>
      <c r="E33" s="820"/>
      <c r="F33" s="820"/>
      <c r="G33" s="820"/>
      <c r="H33" s="820"/>
      <c r="I33" s="820"/>
      <c r="J33" s="820"/>
      <c r="K33" s="820"/>
      <c r="L33" s="820"/>
      <c r="M33" s="820"/>
    </row>
    <row r="34" spans="1:13" x14ac:dyDescent="0.25">
      <c r="A34" s="816" t="s">
        <v>628</v>
      </c>
      <c r="B34" s="820"/>
      <c r="C34" s="820"/>
      <c r="D34" s="820"/>
      <c r="E34" s="820"/>
      <c r="F34" s="820"/>
      <c r="G34" s="820"/>
      <c r="H34" s="820"/>
      <c r="I34" s="820"/>
      <c r="J34" s="820"/>
      <c r="K34" s="820"/>
      <c r="L34" s="820"/>
      <c r="M34" s="820"/>
    </row>
    <row r="35" spans="1:13" x14ac:dyDescent="0.25">
      <c r="A35" s="816" t="s">
        <v>629</v>
      </c>
      <c r="B35" s="820"/>
      <c r="C35" s="820"/>
      <c r="D35" s="820"/>
      <c r="E35" s="820"/>
      <c r="F35" s="820"/>
      <c r="G35" s="820"/>
      <c r="H35" s="820"/>
      <c r="I35" s="820"/>
      <c r="J35" s="820"/>
      <c r="K35" s="820"/>
      <c r="L35" s="820"/>
      <c r="M35" s="820"/>
    </row>
    <row r="36" spans="1:13" x14ac:dyDescent="0.25">
      <c r="A36" s="816" t="s">
        <v>630</v>
      </c>
      <c r="B36" s="820"/>
      <c r="C36" s="820"/>
      <c r="D36" s="820"/>
      <c r="E36" s="820"/>
      <c r="F36" s="820"/>
      <c r="G36" s="820"/>
      <c r="H36" s="820"/>
      <c r="I36" s="820"/>
      <c r="J36" s="820"/>
      <c r="K36" s="820"/>
      <c r="L36" s="820"/>
      <c r="M36" s="820"/>
    </row>
    <row r="37" spans="1:13" x14ac:dyDescent="0.25">
      <c r="A37" s="807"/>
      <c r="B37" s="820"/>
      <c r="C37" s="820"/>
      <c r="D37" s="820"/>
      <c r="E37" s="820"/>
      <c r="F37" s="820"/>
      <c r="G37" s="820"/>
      <c r="H37" s="820"/>
      <c r="I37" s="820"/>
      <c r="J37" s="820"/>
      <c r="K37" s="820"/>
      <c r="L37" s="820"/>
      <c r="M37" s="820"/>
    </row>
    <row r="38" spans="1:13" x14ac:dyDescent="0.25">
      <c r="A38" s="821" t="s">
        <v>499</v>
      </c>
      <c r="B38" s="820"/>
      <c r="C38" s="820"/>
      <c r="D38" s="820"/>
      <c r="E38" s="820"/>
      <c r="F38" s="820"/>
      <c r="G38" s="820"/>
      <c r="H38" s="820"/>
      <c r="I38" s="820"/>
      <c r="J38" s="820"/>
      <c r="K38" s="820"/>
      <c r="L38" s="820"/>
      <c r="M38" s="820"/>
    </row>
    <row r="39" spans="1:13" x14ac:dyDescent="0.25">
      <c r="A39" s="816" t="s">
        <v>631</v>
      </c>
      <c r="B39" s="820"/>
      <c r="C39" s="820"/>
      <c r="D39" s="820"/>
      <c r="E39" s="820"/>
      <c r="F39" s="820"/>
      <c r="G39" s="820"/>
      <c r="H39" s="820"/>
      <c r="I39" s="820"/>
      <c r="J39" s="820"/>
      <c r="K39" s="820"/>
      <c r="L39" s="820"/>
      <c r="M39" s="820"/>
    </row>
    <row r="40" spans="1:13" x14ac:dyDescent="0.25">
      <c r="A40" s="816" t="s">
        <v>632</v>
      </c>
      <c r="B40" s="820"/>
      <c r="C40" s="820"/>
      <c r="D40" s="820"/>
      <c r="E40" s="820"/>
      <c r="F40" s="820"/>
      <c r="G40" s="820"/>
      <c r="H40" s="820"/>
      <c r="I40" s="820"/>
      <c r="J40" s="820"/>
      <c r="K40" s="820"/>
      <c r="L40" s="820"/>
      <c r="M40" s="820"/>
    </row>
    <row r="41" spans="1:13" x14ac:dyDescent="0.25">
      <c r="A41" s="816" t="s">
        <v>637</v>
      </c>
      <c r="B41" s="820"/>
      <c r="C41" s="820"/>
      <c r="D41" s="820"/>
      <c r="E41" s="820"/>
      <c r="F41" s="820"/>
      <c r="G41" s="820"/>
      <c r="H41" s="820"/>
      <c r="I41" s="820"/>
      <c r="J41" s="820"/>
      <c r="K41" s="820"/>
      <c r="L41" s="820"/>
      <c r="M41" s="820"/>
    </row>
    <row r="42" spans="1:13" x14ac:dyDescent="0.25">
      <c r="A42" s="816" t="s">
        <v>638</v>
      </c>
      <c r="B42" s="820"/>
      <c r="C42" s="820"/>
      <c r="D42" s="820"/>
      <c r="E42" s="820"/>
      <c r="F42" s="820"/>
      <c r="G42" s="820"/>
      <c r="H42" s="820"/>
      <c r="I42" s="820"/>
      <c r="J42" s="820"/>
      <c r="K42" s="820"/>
      <c r="L42" s="820"/>
      <c r="M42" s="820"/>
    </row>
    <row r="43" spans="1:13" x14ac:dyDescent="0.25">
      <c r="A43" s="807"/>
      <c r="B43" s="820"/>
      <c r="C43" s="820"/>
      <c r="D43" s="820"/>
      <c r="E43" s="820"/>
      <c r="F43" s="820"/>
      <c r="G43" s="820"/>
      <c r="H43" s="820"/>
      <c r="I43" s="820"/>
      <c r="J43" s="820"/>
      <c r="K43" s="820"/>
      <c r="L43" s="820"/>
      <c r="M43" s="820"/>
    </row>
    <row r="44" spans="1:13" x14ac:dyDescent="0.25">
      <c r="A44" s="821" t="s">
        <v>633</v>
      </c>
      <c r="B44" s="820"/>
      <c r="C44" s="820"/>
      <c r="D44" s="820"/>
      <c r="E44" s="820"/>
      <c r="F44" s="820"/>
      <c r="G44" s="820"/>
      <c r="H44" s="820"/>
      <c r="I44" s="820"/>
      <c r="J44" s="820"/>
      <c r="K44" s="820"/>
      <c r="L44" s="820"/>
      <c r="M44" s="820"/>
    </row>
    <row r="45" spans="1:13" x14ac:dyDescent="0.25">
      <c r="A45" s="816" t="s">
        <v>634</v>
      </c>
      <c r="B45" s="820"/>
      <c r="C45" s="820"/>
      <c r="D45" s="820"/>
      <c r="E45" s="820"/>
      <c r="F45" s="820"/>
      <c r="G45" s="820"/>
      <c r="H45" s="820"/>
      <c r="I45" s="820"/>
      <c r="J45" s="820"/>
      <c r="K45" s="820"/>
      <c r="L45" s="820"/>
      <c r="M45" s="820"/>
    </row>
    <row r="46" spans="1:13" x14ac:dyDescent="0.25">
      <c r="A46" s="816" t="s">
        <v>635</v>
      </c>
      <c r="B46" s="820"/>
      <c r="C46" s="820"/>
      <c r="D46" s="820"/>
      <c r="E46" s="820"/>
      <c r="F46" s="820"/>
      <c r="G46" s="820"/>
      <c r="H46" s="820"/>
      <c r="I46" s="820"/>
      <c r="J46" s="820"/>
      <c r="K46" s="820"/>
      <c r="L46" s="820"/>
      <c r="M46" s="820"/>
    </row>
    <row r="47" spans="1:13" x14ac:dyDescent="0.25">
      <c r="A47" s="816" t="s">
        <v>636</v>
      </c>
      <c r="B47" s="820"/>
      <c r="C47" s="820"/>
      <c r="D47" s="820"/>
      <c r="E47" s="820"/>
      <c r="F47" s="820"/>
      <c r="G47" s="820"/>
      <c r="H47" s="820"/>
      <c r="I47" s="820"/>
      <c r="J47" s="820"/>
      <c r="K47" s="820"/>
      <c r="L47" s="820"/>
      <c r="M47" s="820"/>
    </row>
    <row r="49" spans="1:18" x14ac:dyDescent="0.25">
      <c r="A49" s="860" t="s">
        <v>592</v>
      </c>
      <c r="B49" s="860"/>
      <c r="C49" s="860"/>
      <c r="D49" s="860"/>
      <c r="E49" s="860"/>
      <c r="F49" s="860"/>
      <c r="G49" s="860"/>
      <c r="H49" s="860"/>
      <c r="I49" s="860"/>
      <c r="J49" s="860"/>
      <c r="K49" s="860"/>
      <c r="L49" s="860"/>
      <c r="M49" s="860"/>
      <c r="N49" s="860"/>
      <c r="O49" s="860"/>
    </row>
    <row r="51" spans="1:18" x14ac:dyDescent="0.25">
      <c r="A51" s="800"/>
    </row>
    <row r="52" spans="1:18" x14ac:dyDescent="0.25">
      <c r="A52" s="861">
        <v>1</v>
      </c>
      <c r="B52" s="813" t="s">
        <v>463</v>
      </c>
      <c r="C52" s="822" t="s">
        <v>464</v>
      </c>
      <c r="D52" s="813" t="s">
        <v>462</v>
      </c>
      <c r="E52" s="813"/>
      <c r="F52" s="813"/>
      <c r="G52" s="813"/>
      <c r="H52" s="813"/>
      <c r="I52" s="813"/>
      <c r="J52" s="813"/>
      <c r="K52" s="813"/>
      <c r="L52" s="813"/>
      <c r="M52" s="813"/>
      <c r="N52" s="823"/>
    </row>
    <row r="53" spans="1:18" x14ac:dyDescent="0.25">
      <c r="A53" s="862"/>
      <c r="B53" s="807" t="s">
        <v>530</v>
      </c>
      <c r="C53" s="809"/>
      <c r="D53" s="807"/>
      <c r="E53" s="807"/>
      <c r="F53" s="807"/>
      <c r="G53" s="807"/>
      <c r="H53" s="807"/>
      <c r="I53" s="807"/>
      <c r="J53" s="807"/>
      <c r="K53" s="807"/>
      <c r="L53" s="807"/>
      <c r="M53" s="807"/>
      <c r="N53" s="824"/>
    </row>
    <row r="54" spans="1:18" x14ac:dyDescent="0.25">
      <c r="A54" s="862"/>
      <c r="B54" s="807" t="s">
        <v>465</v>
      </c>
      <c r="C54" s="809"/>
      <c r="D54" s="807"/>
      <c r="E54" s="807"/>
      <c r="F54" s="807"/>
      <c r="G54" s="807"/>
      <c r="H54" s="807"/>
      <c r="I54" s="807"/>
      <c r="J54" s="807"/>
      <c r="K54" s="807"/>
      <c r="L54" s="807"/>
      <c r="M54" s="807"/>
      <c r="N54" s="824"/>
      <c r="P54" s="130" t="s">
        <v>457</v>
      </c>
      <c r="R54" s="807"/>
    </row>
    <row r="55" spans="1:18" x14ac:dyDescent="0.25">
      <c r="A55" s="863"/>
      <c r="B55" s="810" t="s">
        <v>466</v>
      </c>
      <c r="C55" s="810"/>
      <c r="D55" s="810"/>
      <c r="E55" s="810"/>
      <c r="F55" s="810"/>
      <c r="G55" s="810"/>
      <c r="H55" s="810"/>
      <c r="I55" s="810"/>
      <c r="J55" s="810"/>
      <c r="K55" s="810"/>
      <c r="L55" s="810"/>
      <c r="M55" s="810"/>
      <c r="N55" s="825"/>
    </row>
    <row r="56" spans="1:18" x14ac:dyDescent="0.25">
      <c r="A56" s="802"/>
      <c r="B56" s="807"/>
      <c r="C56" s="807"/>
      <c r="D56" s="807"/>
      <c r="E56" s="807"/>
      <c r="F56" s="807"/>
      <c r="G56" s="807"/>
      <c r="H56" s="807"/>
      <c r="I56" s="807"/>
      <c r="J56" s="807"/>
      <c r="K56" s="807"/>
      <c r="L56" s="807"/>
      <c r="M56" s="807"/>
    </row>
    <row r="57" spans="1:18" x14ac:dyDescent="0.25">
      <c r="A57" s="826">
        <v>2</v>
      </c>
      <c r="B57" s="827" t="s">
        <v>467</v>
      </c>
      <c r="C57" s="803"/>
      <c r="D57" s="803"/>
      <c r="E57" s="803"/>
      <c r="F57" s="803"/>
      <c r="G57" s="803"/>
      <c r="H57" s="803"/>
      <c r="I57" s="803"/>
      <c r="J57" s="803"/>
      <c r="K57" s="803"/>
      <c r="L57" s="803"/>
      <c r="M57" s="803"/>
      <c r="N57" s="828"/>
    </row>
    <row r="58" spans="1:18" x14ac:dyDescent="0.25">
      <c r="A58" s="802"/>
      <c r="B58" s="809"/>
      <c r="C58" s="807"/>
      <c r="D58" s="807"/>
      <c r="E58" s="807"/>
      <c r="F58" s="807"/>
      <c r="G58" s="807"/>
      <c r="H58" s="807"/>
      <c r="I58" s="807"/>
      <c r="J58" s="807"/>
      <c r="K58" s="807"/>
      <c r="L58" s="807"/>
      <c r="M58" s="807"/>
    </row>
    <row r="59" spans="1:18" x14ac:dyDescent="0.25">
      <c r="A59" s="861">
        <v>3</v>
      </c>
      <c r="B59" s="815" t="s">
        <v>468</v>
      </c>
      <c r="C59" s="813"/>
      <c r="D59" s="813"/>
      <c r="E59" s="813"/>
      <c r="F59" s="813"/>
      <c r="G59" s="813"/>
      <c r="H59" s="813"/>
      <c r="I59" s="813"/>
      <c r="J59" s="813"/>
      <c r="K59" s="813"/>
      <c r="L59" s="813"/>
      <c r="M59" s="829"/>
      <c r="N59" s="823"/>
      <c r="R59" s="807"/>
    </row>
    <row r="60" spans="1:18" x14ac:dyDescent="0.25">
      <c r="A60" s="862"/>
      <c r="B60" s="830" t="s">
        <v>469</v>
      </c>
      <c r="C60" s="807"/>
      <c r="D60" s="807"/>
      <c r="E60" s="807"/>
      <c r="F60" s="807"/>
      <c r="G60" s="807"/>
      <c r="H60" s="807"/>
      <c r="I60" s="807"/>
      <c r="J60" s="807"/>
      <c r="K60" s="807"/>
      <c r="L60" s="807"/>
      <c r="M60" s="807"/>
      <c r="N60" s="824"/>
      <c r="R60" s="807"/>
    </row>
    <row r="61" spans="1:18" x14ac:dyDescent="0.25">
      <c r="A61" s="862"/>
      <c r="B61" s="807" t="s">
        <v>470</v>
      </c>
      <c r="C61" s="807"/>
      <c r="D61" s="807"/>
      <c r="E61" s="807"/>
      <c r="F61" s="807"/>
      <c r="G61" s="807"/>
      <c r="H61" s="807"/>
      <c r="I61" s="807"/>
      <c r="J61" s="807"/>
      <c r="K61" s="807"/>
      <c r="L61" s="807"/>
      <c r="M61" s="807"/>
      <c r="N61" s="824"/>
      <c r="P61" s="130" t="s">
        <v>461</v>
      </c>
      <c r="R61" s="807"/>
    </row>
    <row r="62" spans="1:18" x14ac:dyDescent="0.25">
      <c r="A62" s="863"/>
      <c r="B62" s="810" t="s">
        <v>471</v>
      </c>
      <c r="C62" s="810"/>
      <c r="D62" s="810"/>
      <c r="E62" s="810"/>
      <c r="F62" s="810"/>
      <c r="G62" s="810"/>
      <c r="H62" s="810"/>
      <c r="I62" s="810"/>
      <c r="J62" s="810"/>
      <c r="K62" s="810"/>
      <c r="L62" s="810"/>
      <c r="M62" s="810"/>
      <c r="N62" s="825"/>
      <c r="R62" s="807"/>
    </row>
    <row r="63" spans="1:18" x14ac:dyDescent="0.25">
      <c r="A63" s="802"/>
      <c r="B63" s="807"/>
      <c r="C63" s="807"/>
      <c r="D63" s="807"/>
      <c r="E63" s="807"/>
      <c r="F63" s="807"/>
      <c r="G63" s="807"/>
      <c r="H63" s="807"/>
      <c r="I63" s="807"/>
      <c r="J63" s="807"/>
      <c r="K63" s="807"/>
      <c r="L63" s="807"/>
      <c r="M63" s="807"/>
      <c r="R63" s="807"/>
    </row>
    <row r="64" spans="1:18" x14ac:dyDescent="0.25">
      <c r="A64" s="861">
        <v>4</v>
      </c>
      <c r="B64" s="813" t="s">
        <v>531</v>
      </c>
      <c r="C64" s="813"/>
      <c r="D64" s="813"/>
      <c r="E64" s="813"/>
      <c r="F64" s="813"/>
      <c r="G64" s="813"/>
      <c r="H64" s="813"/>
      <c r="I64" s="813"/>
      <c r="J64" s="813"/>
      <c r="K64" s="813"/>
      <c r="L64" s="813"/>
      <c r="M64" s="813"/>
      <c r="N64" s="823"/>
      <c r="R64" s="807"/>
    </row>
    <row r="65" spans="1:18" x14ac:dyDescent="0.25">
      <c r="A65" s="862"/>
      <c r="B65" s="807" t="s">
        <v>532</v>
      </c>
      <c r="C65" s="807"/>
      <c r="D65" s="807"/>
      <c r="E65" s="807"/>
      <c r="F65" s="807"/>
      <c r="G65" s="807"/>
      <c r="H65" s="807"/>
      <c r="I65" s="807"/>
      <c r="J65" s="807"/>
      <c r="K65" s="807"/>
      <c r="L65" s="807"/>
      <c r="M65" s="807"/>
      <c r="N65" s="824"/>
      <c r="R65" s="807"/>
    </row>
    <row r="66" spans="1:18" x14ac:dyDescent="0.25">
      <c r="A66" s="863"/>
      <c r="B66" s="810"/>
      <c r="C66" s="864" t="s">
        <v>472</v>
      </c>
      <c r="D66" s="864"/>
      <c r="E66" s="810"/>
      <c r="F66" s="865" t="s">
        <v>473</v>
      </c>
      <c r="G66" s="865"/>
      <c r="H66" s="810"/>
      <c r="I66" s="866" t="s">
        <v>474</v>
      </c>
      <c r="J66" s="866"/>
      <c r="K66" s="810"/>
      <c r="L66" s="810"/>
      <c r="M66" s="810"/>
      <c r="N66" s="825"/>
      <c r="R66" s="807"/>
    </row>
    <row r="67" spans="1:18" x14ac:dyDescent="0.25">
      <c r="A67" s="802"/>
      <c r="B67" s="807"/>
      <c r="C67" s="808"/>
      <c r="D67" s="808"/>
      <c r="E67" s="809"/>
      <c r="F67" s="808"/>
      <c r="G67" s="808"/>
      <c r="H67" s="809"/>
      <c r="I67" s="808"/>
      <c r="J67" s="808"/>
      <c r="K67" s="807"/>
      <c r="L67" s="807"/>
      <c r="M67" s="807"/>
      <c r="R67" s="807"/>
    </row>
    <row r="68" spans="1:18" x14ac:dyDescent="0.25">
      <c r="A68" s="861">
        <v>5</v>
      </c>
      <c r="B68" s="813" t="s">
        <v>491</v>
      </c>
      <c r="C68" s="814"/>
      <c r="D68" s="814"/>
      <c r="E68" s="815"/>
      <c r="F68" s="814"/>
      <c r="G68" s="814"/>
      <c r="H68" s="815"/>
      <c r="I68" s="814"/>
      <c r="J68" s="814"/>
      <c r="K68" s="813"/>
      <c r="L68" s="813"/>
      <c r="M68" s="813"/>
      <c r="N68" s="823"/>
      <c r="P68" s="130" t="s">
        <v>475</v>
      </c>
      <c r="R68" s="807"/>
    </row>
    <row r="69" spans="1:18" x14ac:dyDescent="0.25">
      <c r="A69" s="863"/>
      <c r="B69" s="810" t="s">
        <v>642</v>
      </c>
      <c r="C69" s="811"/>
      <c r="D69" s="811"/>
      <c r="E69" s="812"/>
      <c r="F69" s="811"/>
      <c r="G69" s="811"/>
      <c r="H69" s="812"/>
      <c r="I69" s="811"/>
      <c r="J69" s="811"/>
      <c r="K69" s="810"/>
      <c r="L69" s="810"/>
      <c r="M69" s="810"/>
      <c r="N69" s="825"/>
      <c r="R69" s="807"/>
    </row>
    <row r="70" spans="1:18" x14ac:dyDescent="0.25">
      <c r="A70" s="802"/>
      <c r="B70" s="807"/>
      <c r="C70" s="808"/>
      <c r="D70" s="808"/>
      <c r="E70" s="809"/>
      <c r="F70" s="808"/>
      <c r="G70" s="808"/>
      <c r="H70" s="809"/>
      <c r="I70" s="808"/>
      <c r="J70" s="808"/>
      <c r="K70" s="807"/>
      <c r="L70" s="807"/>
      <c r="M70" s="807"/>
      <c r="R70" s="807"/>
    </row>
    <row r="71" spans="1:18" x14ac:dyDescent="0.25">
      <c r="A71" s="861">
        <v>6</v>
      </c>
      <c r="B71" s="813" t="s">
        <v>507</v>
      </c>
      <c r="C71" s="814"/>
      <c r="D71" s="814"/>
      <c r="E71" s="815"/>
      <c r="F71" s="814"/>
      <c r="G71" s="814"/>
      <c r="H71" s="815"/>
      <c r="I71" s="814"/>
      <c r="J71" s="814"/>
      <c r="K71" s="813"/>
      <c r="L71" s="813"/>
      <c r="M71" s="813"/>
      <c r="N71" s="823"/>
      <c r="R71" s="807"/>
    </row>
    <row r="72" spans="1:18" x14ac:dyDescent="0.25">
      <c r="A72" s="862"/>
      <c r="B72" s="807" t="s">
        <v>508</v>
      </c>
      <c r="C72" s="808"/>
      <c r="D72" s="808"/>
      <c r="E72" s="809"/>
      <c r="F72" s="808"/>
      <c r="G72" s="808"/>
      <c r="H72" s="809"/>
      <c r="I72" s="808"/>
      <c r="J72" s="808"/>
      <c r="K72" s="807"/>
      <c r="L72" s="807"/>
      <c r="M72" s="807"/>
      <c r="N72" s="824"/>
      <c r="R72" s="807"/>
    </row>
    <row r="73" spans="1:18" x14ac:dyDescent="0.25">
      <c r="A73" s="862"/>
      <c r="B73" s="807" t="s">
        <v>509</v>
      </c>
      <c r="C73" s="808"/>
      <c r="D73" s="808"/>
      <c r="E73" s="809"/>
      <c r="F73" s="808"/>
      <c r="G73" s="808"/>
      <c r="H73" s="809"/>
      <c r="I73" s="808"/>
      <c r="J73" s="808"/>
      <c r="K73" s="807"/>
      <c r="L73" s="807"/>
      <c r="M73" s="807"/>
      <c r="N73" s="824"/>
      <c r="R73" s="807"/>
    </row>
    <row r="74" spans="1:18" x14ac:dyDescent="0.25">
      <c r="A74" s="862"/>
      <c r="B74" s="807" t="s">
        <v>607</v>
      </c>
      <c r="C74" s="808"/>
      <c r="D74" s="808"/>
      <c r="E74" s="809"/>
      <c r="F74" s="808"/>
      <c r="G74" s="808"/>
      <c r="H74" s="809"/>
      <c r="I74" s="808"/>
      <c r="J74" s="808"/>
      <c r="K74" s="807"/>
      <c r="L74" s="807"/>
      <c r="M74" s="807"/>
      <c r="N74" s="824"/>
      <c r="R74" s="807"/>
    </row>
    <row r="75" spans="1:18" x14ac:dyDescent="0.25">
      <c r="A75" s="863"/>
      <c r="B75" s="810" t="s">
        <v>506</v>
      </c>
      <c r="C75" s="811"/>
      <c r="D75" s="811"/>
      <c r="E75" s="812"/>
      <c r="F75" s="811"/>
      <c r="G75" s="811"/>
      <c r="H75" s="812"/>
      <c r="I75" s="811"/>
      <c r="J75" s="811"/>
      <c r="K75" s="810"/>
      <c r="L75" s="810"/>
      <c r="M75" s="810"/>
      <c r="N75" s="825"/>
      <c r="P75" s="130" t="s">
        <v>484</v>
      </c>
      <c r="R75" s="807"/>
    </row>
    <row r="76" spans="1:18" x14ac:dyDescent="0.25">
      <c r="A76" s="802"/>
      <c r="B76" s="807"/>
      <c r="C76" s="808"/>
      <c r="D76" s="808"/>
      <c r="E76" s="809"/>
      <c r="F76" s="808"/>
      <c r="G76" s="808"/>
      <c r="H76" s="809"/>
      <c r="I76" s="808"/>
      <c r="J76" s="808"/>
      <c r="K76" s="807"/>
      <c r="L76" s="807"/>
      <c r="M76" s="807"/>
      <c r="R76" s="807"/>
    </row>
    <row r="77" spans="1:18" x14ac:dyDescent="0.25">
      <c r="A77" s="861">
        <v>7</v>
      </c>
      <c r="B77" s="813" t="s">
        <v>503</v>
      </c>
      <c r="C77" s="814"/>
      <c r="D77" s="814"/>
      <c r="E77" s="815"/>
      <c r="F77" s="814"/>
      <c r="G77" s="814"/>
      <c r="H77" s="815"/>
      <c r="I77" s="814"/>
      <c r="J77" s="814"/>
      <c r="K77" s="813"/>
      <c r="L77" s="813"/>
      <c r="M77" s="813"/>
      <c r="N77" s="823"/>
      <c r="R77" s="807"/>
    </row>
    <row r="78" spans="1:18" x14ac:dyDescent="0.25">
      <c r="A78" s="862"/>
      <c r="B78" s="807" t="s">
        <v>504</v>
      </c>
      <c r="C78" s="808"/>
      <c r="D78" s="808"/>
      <c r="E78" s="809"/>
      <c r="F78" s="808"/>
      <c r="G78" s="808"/>
      <c r="H78" s="809"/>
      <c r="I78" s="808"/>
      <c r="J78" s="808"/>
      <c r="K78" s="807"/>
      <c r="L78" s="807"/>
      <c r="M78" s="807"/>
      <c r="N78" s="824"/>
      <c r="R78" s="807"/>
    </row>
    <row r="79" spans="1:18" x14ac:dyDescent="0.25">
      <c r="A79" s="863"/>
      <c r="B79" s="810" t="s">
        <v>505</v>
      </c>
      <c r="C79" s="811"/>
      <c r="D79" s="811"/>
      <c r="E79" s="812"/>
      <c r="F79" s="811"/>
      <c r="G79" s="811"/>
      <c r="H79" s="812"/>
      <c r="I79" s="811"/>
      <c r="J79" s="811"/>
      <c r="K79" s="810"/>
      <c r="L79" s="810"/>
      <c r="M79" s="810"/>
      <c r="N79" s="825"/>
      <c r="R79" s="807"/>
    </row>
    <row r="80" spans="1:18" x14ac:dyDescent="0.25">
      <c r="C80" s="804"/>
      <c r="D80" s="804"/>
      <c r="E80" s="801"/>
      <c r="F80" s="804"/>
      <c r="G80" s="804"/>
      <c r="H80" s="801"/>
      <c r="I80" s="804"/>
      <c r="J80" s="804"/>
      <c r="R80" s="807"/>
    </row>
    <row r="81" spans="1:18" x14ac:dyDescent="0.25">
      <c r="A81" s="861">
        <v>8</v>
      </c>
      <c r="B81" s="813" t="s">
        <v>616</v>
      </c>
      <c r="C81" s="814"/>
      <c r="D81" s="814"/>
      <c r="E81" s="815"/>
      <c r="F81" s="814"/>
      <c r="G81" s="814"/>
      <c r="H81" s="815"/>
      <c r="I81" s="814"/>
      <c r="J81" s="814"/>
      <c r="K81" s="813"/>
      <c r="L81" s="813"/>
      <c r="M81" s="813"/>
      <c r="N81" s="823"/>
      <c r="R81" s="807"/>
    </row>
    <row r="82" spans="1:18" x14ac:dyDescent="0.25">
      <c r="A82" s="862"/>
      <c r="B82" s="807" t="s">
        <v>615</v>
      </c>
      <c r="C82" s="808"/>
      <c r="D82" s="808"/>
      <c r="E82" s="809"/>
      <c r="F82" s="808"/>
      <c r="G82" s="808"/>
      <c r="H82" s="809"/>
      <c r="I82" s="808"/>
      <c r="J82" s="808"/>
      <c r="K82" s="807"/>
      <c r="L82" s="807"/>
      <c r="M82" s="807"/>
      <c r="N82" s="824"/>
      <c r="R82" s="807"/>
    </row>
    <row r="83" spans="1:18" x14ac:dyDescent="0.25">
      <c r="A83" s="862"/>
      <c r="B83" s="807" t="s">
        <v>614</v>
      </c>
      <c r="C83" s="808"/>
      <c r="D83" s="808"/>
      <c r="E83" s="809"/>
      <c r="F83" s="808"/>
      <c r="G83" s="808"/>
      <c r="H83" s="809"/>
      <c r="I83" s="808"/>
      <c r="J83" s="808"/>
      <c r="K83" s="807"/>
      <c r="L83" s="807"/>
      <c r="M83" s="807"/>
      <c r="N83" s="824"/>
      <c r="P83" s="130" t="s">
        <v>51</v>
      </c>
      <c r="R83" s="807"/>
    </row>
    <row r="84" spans="1:18" x14ac:dyDescent="0.25">
      <c r="A84" s="863"/>
      <c r="B84" s="810" t="s">
        <v>613</v>
      </c>
      <c r="C84" s="811"/>
      <c r="D84" s="811"/>
      <c r="E84" s="812"/>
      <c r="F84" s="811"/>
      <c r="G84" s="811"/>
      <c r="H84" s="812"/>
      <c r="I84" s="811"/>
      <c r="J84" s="811"/>
      <c r="K84" s="810"/>
      <c r="L84" s="810"/>
      <c r="M84" s="810"/>
      <c r="N84" s="825"/>
      <c r="R84" s="807"/>
    </row>
    <row r="85" spans="1:18" x14ac:dyDescent="0.25">
      <c r="C85" s="804"/>
      <c r="D85" s="804"/>
      <c r="E85" s="801"/>
      <c r="F85" s="804"/>
      <c r="G85" s="804"/>
      <c r="H85" s="801"/>
      <c r="I85" s="804"/>
      <c r="J85" s="804"/>
      <c r="R85" s="807"/>
    </row>
    <row r="86" spans="1:18" x14ac:dyDescent="0.25">
      <c r="A86" s="860" t="s">
        <v>591</v>
      </c>
      <c r="B86" s="860"/>
      <c r="C86" s="860"/>
      <c r="D86" s="860"/>
      <c r="E86" s="860"/>
      <c r="F86" s="860"/>
      <c r="G86" s="860"/>
      <c r="H86" s="860"/>
      <c r="I86" s="860"/>
      <c r="J86" s="860"/>
      <c r="K86" s="860"/>
      <c r="L86" s="860"/>
      <c r="M86" s="860"/>
      <c r="N86" s="860"/>
      <c r="O86" s="860"/>
      <c r="R86" s="807"/>
    </row>
    <row r="87" spans="1:18" x14ac:dyDescent="0.25">
      <c r="C87" s="804"/>
      <c r="D87" s="804"/>
      <c r="E87" s="801"/>
      <c r="F87" s="804"/>
      <c r="G87" s="804"/>
      <c r="H87" s="801"/>
      <c r="I87" s="804"/>
      <c r="J87" s="804"/>
      <c r="R87" s="807"/>
    </row>
    <row r="88" spans="1:18" x14ac:dyDescent="0.25">
      <c r="A88" s="130" t="s">
        <v>459</v>
      </c>
      <c r="B88" s="130" t="s">
        <v>510</v>
      </c>
      <c r="O88" s="130" t="s">
        <v>609</v>
      </c>
      <c r="R88" s="807"/>
    </row>
    <row r="89" spans="1:18" x14ac:dyDescent="0.25">
      <c r="C89" s="805" t="s">
        <v>458</v>
      </c>
      <c r="R89" s="807"/>
    </row>
    <row r="90" spans="1:18" x14ac:dyDescent="0.25">
      <c r="R90" s="807"/>
    </row>
    <row r="91" spans="1:18" x14ac:dyDescent="0.25">
      <c r="A91" s="130" t="s">
        <v>460</v>
      </c>
      <c r="B91" s="130" t="s">
        <v>511</v>
      </c>
      <c r="O91" s="802" t="s">
        <v>611</v>
      </c>
      <c r="R91" s="807"/>
    </row>
    <row r="92" spans="1:18" x14ac:dyDescent="0.25">
      <c r="B92" s="130" t="s">
        <v>513</v>
      </c>
      <c r="R92" s="807"/>
    </row>
    <row r="93" spans="1:18" x14ac:dyDescent="0.25">
      <c r="B93" s="130" t="s">
        <v>512</v>
      </c>
      <c r="R93" s="807"/>
    </row>
    <row r="94" spans="1:18" x14ac:dyDescent="0.25">
      <c r="R94" s="807"/>
    </row>
    <row r="95" spans="1:18" x14ac:dyDescent="0.25">
      <c r="A95" s="130" t="s">
        <v>476</v>
      </c>
      <c r="B95" s="130" t="s">
        <v>514</v>
      </c>
      <c r="O95" s="802" t="s">
        <v>611</v>
      </c>
      <c r="R95" s="807"/>
    </row>
    <row r="96" spans="1:18" x14ac:dyDescent="0.25">
      <c r="B96" s="130" t="s">
        <v>597</v>
      </c>
      <c r="P96" s="130" t="s">
        <v>497</v>
      </c>
      <c r="R96" s="807"/>
    </row>
    <row r="97" spans="1:18" x14ac:dyDescent="0.25">
      <c r="C97" s="805"/>
      <c r="R97" s="807"/>
    </row>
    <row r="98" spans="1:18" x14ac:dyDescent="0.25">
      <c r="A98" s="130" t="s">
        <v>477</v>
      </c>
      <c r="B98" s="130" t="s">
        <v>602</v>
      </c>
      <c r="O98" s="802" t="s">
        <v>611</v>
      </c>
      <c r="R98" s="807"/>
    </row>
    <row r="99" spans="1:18" x14ac:dyDescent="0.25">
      <c r="B99" s="130" t="s">
        <v>689</v>
      </c>
      <c r="R99" s="807"/>
    </row>
    <row r="100" spans="1:18" x14ac:dyDescent="0.25">
      <c r="B100" s="130" t="s">
        <v>605</v>
      </c>
      <c r="P100" s="130" t="s">
        <v>499</v>
      </c>
      <c r="R100" s="807"/>
    </row>
    <row r="101" spans="1:18" x14ac:dyDescent="0.25">
      <c r="B101" s="130" t="s">
        <v>604</v>
      </c>
      <c r="R101" s="807"/>
    </row>
    <row r="102" spans="1:18" x14ac:dyDescent="0.25">
      <c r="R102" s="807"/>
    </row>
    <row r="103" spans="1:18" x14ac:dyDescent="0.25">
      <c r="A103" s="130" t="s">
        <v>478</v>
      </c>
      <c r="B103" s="130" t="s">
        <v>515</v>
      </c>
      <c r="O103" s="802" t="s">
        <v>611</v>
      </c>
      <c r="R103" s="807"/>
    </row>
    <row r="104" spans="1:18" x14ac:dyDescent="0.25">
      <c r="R104" s="807"/>
    </row>
    <row r="105" spans="1:18" x14ac:dyDescent="0.25">
      <c r="A105" s="130" t="s">
        <v>479</v>
      </c>
      <c r="B105" s="130" t="s">
        <v>516</v>
      </c>
      <c r="O105" s="130" t="s">
        <v>610</v>
      </c>
      <c r="R105" s="807"/>
    </row>
    <row r="106" spans="1:18" x14ac:dyDescent="0.25">
      <c r="B106" s="130" t="s">
        <v>598</v>
      </c>
      <c r="R106" s="807"/>
    </row>
    <row r="107" spans="1:18" x14ac:dyDescent="0.25">
      <c r="R107" s="807"/>
    </row>
    <row r="108" spans="1:18" x14ac:dyDescent="0.25">
      <c r="A108" s="130" t="s">
        <v>480</v>
      </c>
      <c r="B108" s="130" t="s">
        <v>518</v>
      </c>
      <c r="O108" s="802" t="s">
        <v>611</v>
      </c>
      <c r="P108" s="130" t="s">
        <v>500</v>
      </c>
      <c r="R108" s="807"/>
    </row>
    <row r="109" spans="1:18" x14ac:dyDescent="0.25">
      <c r="B109" s="130" t="s">
        <v>519</v>
      </c>
      <c r="R109" s="807"/>
    </row>
    <row r="110" spans="1:18" x14ac:dyDescent="0.25">
      <c r="B110" s="130" t="s">
        <v>520</v>
      </c>
    </row>
    <row r="111" spans="1:18" x14ac:dyDescent="0.25">
      <c r="B111" s="130" t="s">
        <v>517</v>
      </c>
    </row>
    <row r="113" spans="1:15" x14ac:dyDescent="0.25">
      <c r="A113" s="130" t="s">
        <v>481</v>
      </c>
      <c r="B113" s="130" t="s">
        <v>521</v>
      </c>
      <c r="O113" s="130" t="s">
        <v>610</v>
      </c>
    </row>
    <row r="114" spans="1:15" x14ac:dyDescent="0.25">
      <c r="B114" s="130" t="s">
        <v>612</v>
      </c>
    </row>
    <row r="115" spans="1:15" x14ac:dyDescent="0.25">
      <c r="B115" s="130" t="s">
        <v>523</v>
      </c>
    </row>
    <row r="116" spans="1:15" x14ac:dyDescent="0.25">
      <c r="B116" s="130" t="s">
        <v>522</v>
      </c>
    </row>
    <row r="118" spans="1:15" x14ac:dyDescent="0.25">
      <c r="A118" s="130" t="s">
        <v>482</v>
      </c>
      <c r="B118" s="130" t="s">
        <v>526</v>
      </c>
      <c r="O118" s="130" t="s">
        <v>610</v>
      </c>
    </row>
    <row r="119" spans="1:15" x14ac:dyDescent="0.25">
      <c r="B119" s="130" t="s">
        <v>525</v>
      </c>
    </row>
    <row r="120" spans="1:15" x14ac:dyDescent="0.25">
      <c r="C120" s="805" t="s">
        <v>524</v>
      </c>
    </row>
    <row r="121" spans="1:15" x14ac:dyDescent="0.25">
      <c r="C121" s="805" t="s">
        <v>527</v>
      </c>
    </row>
    <row r="122" spans="1:15" x14ac:dyDescent="0.25">
      <c r="C122" s="805" t="s">
        <v>656</v>
      </c>
    </row>
    <row r="124" spans="1:15" x14ac:dyDescent="0.25">
      <c r="A124" s="130" t="s">
        <v>483</v>
      </c>
      <c r="B124" s="130" t="s">
        <v>529</v>
      </c>
      <c r="O124" s="802" t="s">
        <v>611</v>
      </c>
    </row>
    <row r="125" spans="1:15" x14ac:dyDescent="0.25">
      <c r="B125" s="130" t="s">
        <v>528</v>
      </c>
    </row>
    <row r="127" spans="1:15" x14ac:dyDescent="0.25">
      <c r="A127" s="130" t="s">
        <v>599</v>
      </c>
      <c r="B127" s="130" t="s">
        <v>548</v>
      </c>
      <c r="O127" s="802" t="s">
        <v>611</v>
      </c>
    </row>
    <row r="128" spans="1:15" x14ac:dyDescent="0.25">
      <c r="B128" s="130" t="s">
        <v>608</v>
      </c>
    </row>
    <row r="130" spans="1:15" x14ac:dyDescent="0.25">
      <c r="A130" s="130" t="s">
        <v>601</v>
      </c>
      <c r="B130" s="130" t="s">
        <v>550</v>
      </c>
      <c r="O130" s="130" t="s">
        <v>610</v>
      </c>
    </row>
    <row r="131" spans="1:15" x14ac:dyDescent="0.25">
      <c r="B131" s="130" t="s">
        <v>549</v>
      </c>
    </row>
    <row r="133" spans="1:15" x14ac:dyDescent="0.25">
      <c r="A133" s="130" t="s">
        <v>485</v>
      </c>
      <c r="B133" s="130" t="s">
        <v>552</v>
      </c>
      <c r="O133" s="130" t="s">
        <v>610</v>
      </c>
    </row>
    <row r="134" spans="1:15" x14ac:dyDescent="0.25">
      <c r="B134" s="130" t="s">
        <v>551</v>
      </c>
    </row>
    <row r="136" spans="1:15" x14ac:dyDescent="0.25">
      <c r="A136" s="130" t="s">
        <v>600</v>
      </c>
      <c r="B136" s="130" t="s">
        <v>554</v>
      </c>
      <c r="O136" s="130" t="s">
        <v>610</v>
      </c>
    </row>
    <row r="137" spans="1:15" x14ac:dyDescent="0.25">
      <c r="B137" s="130" t="s">
        <v>658</v>
      </c>
    </row>
    <row r="138" spans="1:15" x14ac:dyDescent="0.25">
      <c r="B138" s="130" t="s">
        <v>553</v>
      </c>
    </row>
    <row r="139" spans="1:15" x14ac:dyDescent="0.25">
      <c r="C139" s="805" t="s">
        <v>555</v>
      </c>
    </row>
    <row r="140" spans="1:15" x14ac:dyDescent="0.25">
      <c r="C140" s="805" t="s">
        <v>687</v>
      </c>
    </row>
    <row r="141" spans="1:15" x14ac:dyDescent="0.25">
      <c r="C141" s="805" t="s">
        <v>688</v>
      </c>
    </row>
    <row r="142" spans="1:15" x14ac:dyDescent="0.25">
      <c r="C142" s="805"/>
    </row>
    <row r="143" spans="1:15" x14ac:dyDescent="0.25">
      <c r="A143" s="130" t="s">
        <v>659</v>
      </c>
      <c r="B143" s="130" t="s">
        <v>660</v>
      </c>
      <c r="C143" s="805"/>
      <c r="O143" s="130" t="s">
        <v>610</v>
      </c>
    </row>
    <row r="144" spans="1:15" x14ac:dyDescent="0.25">
      <c r="B144" s="130" t="s">
        <v>662</v>
      </c>
      <c r="C144" s="805"/>
    </row>
    <row r="145" spans="1:15" x14ac:dyDescent="0.25">
      <c r="B145" s="130" t="s">
        <v>664</v>
      </c>
      <c r="C145" s="805"/>
    </row>
    <row r="146" spans="1:15" x14ac:dyDescent="0.25">
      <c r="B146" s="130" t="s">
        <v>663</v>
      </c>
      <c r="C146" s="805"/>
    </row>
    <row r="147" spans="1:15" x14ac:dyDescent="0.25">
      <c r="C147" s="805" t="s">
        <v>665</v>
      </c>
    </row>
    <row r="148" spans="1:15" x14ac:dyDescent="0.25">
      <c r="C148" s="805" t="s">
        <v>666</v>
      </c>
    </row>
    <row r="150" spans="1:15" x14ac:dyDescent="0.25">
      <c r="A150" s="130" t="s">
        <v>593</v>
      </c>
      <c r="B150" s="130" t="s">
        <v>667</v>
      </c>
      <c r="O150" s="130" t="s">
        <v>610</v>
      </c>
    </row>
    <row r="151" spans="1:15" x14ac:dyDescent="0.25">
      <c r="B151" s="130" t="s">
        <v>668</v>
      </c>
    </row>
    <row r="152" spans="1:15" x14ac:dyDescent="0.25">
      <c r="B152" s="130" t="s">
        <v>669</v>
      </c>
    </row>
    <row r="153" spans="1:15" x14ac:dyDescent="0.25">
      <c r="B153" s="130" t="s">
        <v>533</v>
      </c>
    </row>
    <row r="154" spans="1:15" x14ac:dyDescent="0.25">
      <c r="C154" s="805" t="s">
        <v>670</v>
      </c>
    </row>
    <row r="155" spans="1:15" x14ac:dyDescent="0.25">
      <c r="C155" s="805" t="s">
        <v>671</v>
      </c>
    </row>
    <row r="156" spans="1:15" x14ac:dyDescent="0.25">
      <c r="C156" s="805" t="s">
        <v>677</v>
      </c>
    </row>
    <row r="157" spans="1:15" x14ac:dyDescent="0.25">
      <c r="C157" s="805" t="s">
        <v>672</v>
      </c>
    </row>
    <row r="158" spans="1:15" x14ac:dyDescent="0.25">
      <c r="C158" s="805" t="s">
        <v>535</v>
      </c>
    </row>
    <row r="159" spans="1:15" x14ac:dyDescent="0.25">
      <c r="C159" s="805" t="s">
        <v>536</v>
      </c>
    </row>
    <row r="160" spans="1:15" x14ac:dyDescent="0.25">
      <c r="C160" s="805" t="s">
        <v>537</v>
      </c>
    </row>
    <row r="161" spans="1:15" x14ac:dyDescent="0.25">
      <c r="C161" s="805" t="s">
        <v>534</v>
      </c>
    </row>
    <row r="163" spans="1:15" x14ac:dyDescent="0.25">
      <c r="A163" s="130" t="s">
        <v>594</v>
      </c>
      <c r="B163" s="130" t="s">
        <v>538</v>
      </c>
      <c r="O163" s="130" t="s">
        <v>610</v>
      </c>
    </row>
    <row r="164" spans="1:15" x14ac:dyDescent="0.25">
      <c r="B164" s="130" t="s">
        <v>543</v>
      </c>
    </row>
    <row r="165" spans="1:15" x14ac:dyDescent="0.25">
      <c r="B165" s="130" t="s">
        <v>542</v>
      </c>
    </row>
    <row r="166" spans="1:15" x14ac:dyDescent="0.25">
      <c r="C166" s="805" t="s">
        <v>540</v>
      </c>
    </row>
    <row r="167" spans="1:15" x14ac:dyDescent="0.25">
      <c r="C167" s="805" t="s">
        <v>541</v>
      </c>
    </row>
    <row r="168" spans="1:15" x14ac:dyDescent="0.25">
      <c r="C168" s="805" t="s">
        <v>539</v>
      </c>
    </row>
    <row r="170" spans="1:15" x14ac:dyDescent="0.25">
      <c r="A170" s="130" t="s">
        <v>486</v>
      </c>
      <c r="B170" s="130" t="s">
        <v>544</v>
      </c>
      <c r="O170" s="802" t="s">
        <v>611</v>
      </c>
    </row>
    <row r="171" spans="1:15" x14ac:dyDescent="0.25">
      <c r="B171" s="130" t="s">
        <v>545</v>
      </c>
    </row>
    <row r="172" spans="1:15" x14ac:dyDescent="0.25">
      <c r="C172" s="805" t="s">
        <v>678</v>
      </c>
    </row>
    <row r="173" spans="1:15" x14ac:dyDescent="0.25">
      <c r="C173" s="805" t="s">
        <v>603</v>
      </c>
    </row>
    <row r="174" spans="1:15" x14ac:dyDescent="0.25">
      <c r="C174" s="805" t="s">
        <v>679</v>
      </c>
    </row>
    <row r="175" spans="1:15" x14ac:dyDescent="0.25">
      <c r="C175" s="805" t="s">
        <v>680</v>
      </c>
    </row>
    <row r="176" spans="1:15" x14ac:dyDescent="0.25">
      <c r="C176" s="805"/>
    </row>
    <row r="177" spans="1:15" x14ac:dyDescent="0.25">
      <c r="A177" s="130" t="s">
        <v>487</v>
      </c>
      <c r="B177" s="130" t="s">
        <v>547</v>
      </c>
      <c r="O177" s="130" t="s">
        <v>610</v>
      </c>
    </row>
    <row r="178" spans="1:15" x14ac:dyDescent="0.25">
      <c r="B178" s="130" t="s">
        <v>546</v>
      </c>
    </row>
    <row r="180" spans="1:15" x14ac:dyDescent="0.25">
      <c r="A180" s="130" t="s">
        <v>489</v>
      </c>
      <c r="B180" s="130" t="s">
        <v>556</v>
      </c>
      <c r="O180" s="130" t="s">
        <v>610</v>
      </c>
    </row>
    <row r="181" spans="1:15" x14ac:dyDescent="0.25">
      <c r="B181" s="130" t="s">
        <v>557</v>
      </c>
    </row>
    <row r="182" spans="1:15" x14ac:dyDescent="0.25">
      <c r="B182" s="130" t="s">
        <v>558</v>
      </c>
    </row>
    <row r="183" spans="1:15" x14ac:dyDescent="0.25">
      <c r="B183" s="130" t="s">
        <v>559</v>
      </c>
    </row>
    <row r="184" spans="1:15" x14ac:dyDescent="0.25">
      <c r="B184" s="130" t="s">
        <v>561</v>
      </c>
    </row>
    <row r="185" spans="1:15" x14ac:dyDescent="0.25">
      <c r="B185" s="130" t="s">
        <v>560</v>
      </c>
    </row>
    <row r="186" spans="1:15" x14ac:dyDescent="0.25">
      <c r="C186" s="805" t="s">
        <v>681</v>
      </c>
    </row>
    <row r="187" spans="1:15" x14ac:dyDescent="0.25">
      <c r="C187" s="805" t="s">
        <v>682</v>
      </c>
    </row>
    <row r="189" spans="1:15" x14ac:dyDescent="0.25">
      <c r="A189" s="130" t="s">
        <v>490</v>
      </c>
      <c r="B189" s="130" t="s">
        <v>596</v>
      </c>
      <c r="O189" s="130" t="s">
        <v>610</v>
      </c>
    </row>
    <row r="190" spans="1:15" x14ac:dyDescent="0.25">
      <c r="B190" s="130" t="s">
        <v>595</v>
      </c>
    </row>
    <row r="192" spans="1:15" x14ac:dyDescent="0.25">
      <c r="A192" s="130" t="s">
        <v>492</v>
      </c>
      <c r="B192" s="130" t="s">
        <v>563</v>
      </c>
      <c r="O192" s="130" t="s">
        <v>610</v>
      </c>
    </row>
    <row r="193" spans="1:15" x14ac:dyDescent="0.25">
      <c r="B193" s="130" t="s">
        <v>690</v>
      </c>
    </row>
    <row r="194" spans="1:15" x14ac:dyDescent="0.25">
      <c r="B194" s="130" t="s">
        <v>553</v>
      </c>
    </row>
    <row r="195" spans="1:15" x14ac:dyDescent="0.25">
      <c r="C195" s="805" t="s">
        <v>562</v>
      </c>
    </row>
    <row r="196" spans="1:15" x14ac:dyDescent="0.25">
      <c r="C196" s="805" t="s">
        <v>683</v>
      </c>
    </row>
    <row r="197" spans="1:15" x14ac:dyDescent="0.25">
      <c r="C197" s="805" t="s">
        <v>684</v>
      </c>
    </row>
    <row r="199" spans="1:15" x14ac:dyDescent="0.25">
      <c r="A199" s="130" t="s">
        <v>493</v>
      </c>
      <c r="B199" s="130" t="s">
        <v>565</v>
      </c>
      <c r="O199" s="130" t="s">
        <v>610</v>
      </c>
    </row>
    <row r="200" spans="1:15" x14ac:dyDescent="0.25">
      <c r="B200" s="130" t="s">
        <v>566</v>
      </c>
    </row>
    <row r="201" spans="1:15" x14ac:dyDescent="0.25">
      <c r="B201" s="130" t="s">
        <v>564</v>
      </c>
    </row>
    <row r="202" spans="1:15" x14ac:dyDescent="0.25">
      <c r="C202" s="805" t="s">
        <v>685</v>
      </c>
    </row>
    <row r="203" spans="1:15" x14ac:dyDescent="0.25">
      <c r="C203" s="805" t="s">
        <v>686</v>
      </c>
    </row>
    <row r="205" spans="1:15" x14ac:dyDescent="0.25">
      <c r="A205" s="130" t="s">
        <v>494</v>
      </c>
      <c r="B205" s="130" t="s">
        <v>568</v>
      </c>
      <c r="O205" s="130" t="s">
        <v>610</v>
      </c>
    </row>
    <row r="206" spans="1:15" x14ac:dyDescent="0.25">
      <c r="B206" s="130" t="s">
        <v>569</v>
      </c>
    </row>
    <row r="207" spans="1:15" x14ac:dyDescent="0.25">
      <c r="B207" s="130" t="s">
        <v>567</v>
      </c>
    </row>
    <row r="209" spans="1:15" x14ac:dyDescent="0.25">
      <c r="A209" s="130" t="s">
        <v>495</v>
      </c>
      <c r="B209" s="130" t="s">
        <v>571</v>
      </c>
      <c r="O209" s="130" t="s">
        <v>610</v>
      </c>
    </row>
    <row r="210" spans="1:15" x14ac:dyDescent="0.25">
      <c r="B210" s="130" t="s">
        <v>570</v>
      </c>
    </row>
    <row r="212" spans="1:15" x14ac:dyDescent="0.25">
      <c r="A212" s="130" t="s">
        <v>498</v>
      </c>
      <c r="B212" s="130" t="s">
        <v>572</v>
      </c>
      <c r="O212" s="130" t="s">
        <v>610</v>
      </c>
    </row>
    <row r="213" spans="1:15" x14ac:dyDescent="0.25">
      <c r="B213" s="130" t="s">
        <v>574</v>
      </c>
    </row>
    <row r="214" spans="1:15" x14ac:dyDescent="0.25">
      <c r="B214" s="130" t="s">
        <v>573</v>
      </c>
    </row>
    <row r="215" spans="1:15" x14ac:dyDescent="0.25">
      <c r="B215" s="130" t="s">
        <v>496</v>
      </c>
    </row>
    <row r="217" spans="1:15" x14ac:dyDescent="0.25">
      <c r="A217" s="130" t="s">
        <v>673</v>
      </c>
      <c r="B217" s="130" t="s">
        <v>576</v>
      </c>
      <c r="O217" s="130" t="s">
        <v>609</v>
      </c>
    </row>
    <row r="218" spans="1:15" x14ac:dyDescent="0.25">
      <c r="B218" s="130" t="s">
        <v>577</v>
      </c>
    </row>
    <row r="219" spans="1:15" x14ac:dyDescent="0.25">
      <c r="B219" s="130" t="s">
        <v>578</v>
      </c>
    </row>
    <row r="220" spans="1:15" x14ac:dyDescent="0.25">
      <c r="B220" s="130" t="s">
        <v>575</v>
      </c>
    </row>
    <row r="222" spans="1:15" x14ac:dyDescent="0.25">
      <c r="A222" s="130" t="s">
        <v>674</v>
      </c>
      <c r="B222" s="130" t="s">
        <v>580</v>
      </c>
      <c r="O222" s="130" t="s">
        <v>610</v>
      </c>
    </row>
    <row r="223" spans="1:15" x14ac:dyDescent="0.25">
      <c r="B223" s="130" t="s">
        <v>581</v>
      </c>
    </row>
    <row r="224" spans="1:15" x14ac:dyDescent="0.25">
      <c r="B224" s="130" t="s">
        <v>579</v>
      </c>
    </row>
    <row r="226" spans="1:15" x14ac:dyDescent="0.25">
      <c r="A226" s="130" t="s">
        <v>501</v>
      </c>
      <c r="B226" s="130" t="s">
        <v>583</v>
      </c>
      <c r="O226" s="130" t="s">
        <v>610</v>
      </c>
    </row>
    <row r="227" spans="1:15" x14ac:dyDescent="0.25">
      <c r="B227" s="130" t="s">
        <v>584</v>
      </c>
    </row>
    <row r="228" spans="1:15" x14ac:dyDescent="0.25">
      <c r="B228" s="130" t="s">
        <v>582</v>
      </c>
    </row>
    <row r="230" spans="1:15" x14ac:dyDescent="0.25">
      <c r="A230" s="130" t="s">
        <v>675</v>
      </c>
      <c r="B230" s="130" t="s">
        <v>586</v>
      </c>
      <c r="O230" s="130" t="s">
        <v>610</v>
      </c>
    </row>
    <row r="231" spans="1:15" x14ac:dyDescent="0.25">
      <c r="B231" s="130" t="s">
        <v>585</v>
      </c>
    </row>
    <row r="232" spans="1:15" x14ac:dyDescent="0.25">
      <c r="C232" s="805" t="s">
        <v>589</v>
      </c>
    </row>
    <row r="233" spans="1:15" x14ac:dyDescent="0.25">
      <c r="C233" s="805" t="s">
        <v>606</v>
      </c>
    </row>
    <row r="234" spans="1:15" x14ac:dyDescent="0.25">
      <c r="C234" s="805" t="s">
        <v>588</v>
      </c>
    </row>
    <row r="235" spans="1:15" x14ac:dyDescent="0.25">
      <c r="C235" s="805" t="s">
        <v>587</v>
      </c>
    </row>
    <row r="237" spans="1:15" x14ac:dyDescent="0.25">
      <c r="A237" s="130" t="s">
        <v>676</v>
      </c>
      <c r="B237" s="130" t="s">
        <v>696</v>
      </c>
      <c r="O237" s="130" t="s">
        <v>610</v>
      </c>
    </row>
    <row r="238" spans="1:15" x14ac:dyDescent="0.25">
      <c r="B238" s="130" t="s">
        <v>695</v>
      </c>
    </row>
    <row r="239" spans="1:15" x14ac:dyDescent="0.25">
      <c r="C239" s="805" t="s">
        <v>590</v>
      </c>
    </row>
    <row r="240" spans="1:15" x14ac:dyDescent="0.25">
      <c r="C240" s="805" t="s">
        <v>502</v>
      </c>
    </row>
    <row r="241" spans="3:3" x14ac:dyDescent="0.25">
      <c r="C241" s="805" t="s">
        <v>697</v>
      </c>
    </row>
    <row r="242" spans="3:3" x14ac:dyDescent="0.25">
      <c r="C242" s="805" t="s">
        <v>698</v>
      </c>
    </row>
  </sheetData>
  <sheetProtection password="CC6F" sheet="1" objects="1" scenarios="1"/>
  <mergeCells count="13">
    <mergeCell ref="A1:O1"/>
    <mergeCell ref="A86:O86"/>
    <mergeCell ref="A77:A79"/>
    <mergeCell ref="C66:D66"/>
    <mergeCell ref="F66:G66"/>
    <mergeCell ref="I66:J66"/>
    <mergeCell ref="A81:A84"/>
    <mergeCell ref="A52:A55"/>
    <mergeCell ref="A59:A62"/>
    <mergeCell ref="A64:A66"/>
    <mergeCell ref="A68:A69"/>
    <mergeCell ref="A71:A75"/>
    <mergeCell ref="A49:O49"/>
  </mergeCells>
  <pageMargins left="0.2" right="0" top="0.5" bottom="0.5" header="0.3" footer="0.3"/>
  <pageSetup scale="77" orientation="landscape" r:id="rId1"/>
  <rowBreaks count="7" manualBreakCount="7">
    <brk id="48" max="14" man="1"/>
    <brk id="85" max="14" man="1"/>
    <brk id="132" max="14" man="1"/>
    <brk id="178" max="14" man="1"/>
    <brk id="224" max="14" man="1"/>
    <brk id="244" max="19" man="1"/>
    <brk id="245" max="1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38"/>
  <sheetViews>
    <sheetView topLeftCell="A130" zoomScaleNormal="100" workbookViewId="0">
      <selection activeCell="L127" sqref="L127:M127"/>
    </sheetView>
  </sheetViews>
  <sheetFormatPr defaultColWidth="9.140625" defaultRowHeight="12.75" x14ac:dyDescent="0.2"/>
  <cols>
    <col min="1" max="1" width="10.28515625" style="3" bestFit="1" customWidth="1"/>
    <col min="2" max="3" width="9.140625" style="3"/>
    <col min="4" max="4" width="9.28515625" style="3" bestFit="1" customWidth="1"/>
    <col min="5" max="5" width="10" style="3" bestFit="1" customWidth="1"/>
    <col min="6" max="6" width="10.140625" style="3" customWidth="1"/>
    <col min="7" max="7" width="9" style="3" bestFit="1" customWidth="1"/>
    <col min="8" max="8" width="10" style="3" customWidth="1"/>
    <col min="9" max="9" width="12.42578125" style="3" bestFit="1" customWidth="1"/>
    <col min="10" max="10" width="9.140625" style="3"/>
    <col min="11" max="11" width="15.140625" style="3" bestFit="1" customWidth="1"/>
    <col min="12" max="12" width="13.28515625" style="3" customWidth="1"/>
    <col min="13" max="13" width="11.28515625" style="3" customWidth="1"/>
    <col min="14" max="14" width="9.140625" style="3"/>
    <col min="15" max="15" width="10.5703125" style="3" bestFit="1" customWidth="1"/>
    <col min="16" max="16384" width="9.140625" style="3"/>
  </cols>
  <sheetData>
    <row r="1" spans="1:16" x14ac:dyDescent="0.2">
      <c r="A1" s="922" t="s">
        <v>700</v>
      </c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4"/>
    </row>
    <row r="2" spans="1:16" x14ac:dyDescent="0.2">
      <c r="A2" s="925"/>
      <c r="B2" s="926"/>
      <c r="C2" s="926"/>
      <c r="D2" s="926"/>
      <c r="E2" s="926"/>
      <c r="F2" s="926"/>
      <c r="G2" s="926"/>
      <c r="H2" s="926"/>
      <c r="I2" s="926"/>
      <c r="J2" s="926"/>
      <c r="K2" s="926"/>
      <c r="L2" s="926"/>
      <c r="M2" s="927"/>
    </row>
    <row r="3" spans="1:16" x14ac:dyDescent="0.2">
      <c r="A3" s="471"/>
      <c r="B3" s="472"/>
      <c r="C3" s="472"/>
      <c r="D3" s="473"/>
      <c r="E3" s="473"/>
      <c r="F3" s="473"/>
      <c r="G3" s="473"/>
      <c r="H3" s="473"/>
      <c r="I3" s="473"/>
      <c r="J3" s="473"/>
      <c r="K3" s="473"/>
      <c r="L3" s="473"/>
      <c r="M3" s="474"/>
    </row>
    <row r="4" spans="1:16" x14ac:dyDescent="0.2">
      <c r="A4" s="475"/>
      <c r="B4" s="476"/>
      <c r="C4" s="476"/>
      <c r="D4" s="473"/>
      <c r="E4" s="473"/>
      <c r="F4" s="473"/>
      <c r="G4" s="473"/>
      <c r="H4" s="473"/>
      <c r="I4" s="473"/>
      <c r="J4" s="473"/>
      <c r="K4" s="473"/>
      <c r="L4" s="473"/>
      <c r="M4" s="474"/>
    </row>
    <row r="5" spans="1:16" x14ac:dyDescent="0.2">
      <c r="A5" s="475"/>
      <c r="B5" s="476"/>
      <c r="C5" s="476"/>
      <c r="D5" s="473"/>
      <c r="E5" s="473"/>
      <c r="F5" s="473"/>
      <c r="G5" s="473"/>
      <c r="H5" s="473"/>
      <c r="I5" s="473"/>
      <c r="J5" s="473"/>
      <c r="K5" s="473"/>
      <c r="L5" s="473"/>
      <c r="M5" s="474"/>
    </row>
    <row r="6" spans="1:16" x14ac:dyDescent="0.2">
      <c r="A6" s="475"/>
      <c r="B6" s="476"/>
      <c r="C6" s="476"/>
      <c r="D6" s="473"/>
      <c r="E6" s="473"/>
      <c r="F6" s="473"/>
      <c r="G6" s="473"/>
      <c r="H6" s="473"/>
      <c r="I6" s="473"/>
      <c r="J6" s="473"/>
      <c r="K6" s="473"/>
      <c r="L6" s="473"/>
      <c r="M6" s="474"/>
    </row>
    <row r="7" spans="1:16" x14ac:dyDescent="0.2">
      <c r="A7" s="475"/>
      <c r="B7" s="476"/>
      <c r="C7" s="476"/>
      <c r="D7" s="473"/>
      <c r="E7" s="473"/>
      <c r="F7" s="473"/>
      <c r="G7" s="473"/>
      <c r="H7" s="473"/>
      <c r="I7" s="473"/>
      <c r="J7" s="473"/>
      <c r="K7" s="473"/>
      <c r="L7" s="473"/>
      <c r="M7" s="474"/>
    </row>
    <row r="8" spans="1:16" x14ac:dyDescent="0.2">
      <c r="A8" s="475"/>
      <c r="B8" s="473"/>
      <c r="C8" s="473"/>
      <c r="D8" s="473"/>
      <c r="E8" s="477"/>
      <c r="F8" s="473"/>
      <c r="G8" s="473"/>
      <c r="H8" s="473"/>
      <c r="I8" s="477"/>
      <c r="J8" s="473"/>
      <c r="K8" s="473"/>
      <c r="L8" s="473"/>
      <c r="M8" s="474"/>
    </row>
    <row r="9" spans="1:16" x14ac:dyDescent="0.2">
      <c r="A9" s="475"/>
      <c r="B9" s="478"/>
      <c r="C9" s="478"/>
      <c r="D9" s="473"/>
      <c r="E9" s="477"/>
      <c r="F9" s="473"/>
      <c r="G9" s="473"/>
      <c r="H9" s="473"/>
      <c r="I9" s="477"/>
      <c r="J9" s="473"/>
      <c r="K9" s="473"/>
      <c r="L9" s="473"/>
      <c r="M9" s="474"/>
    </row>
    <row r="10" spans="1:16" x14ac:dyDescent="0.2">
      <c r="A10" s="475"/>
      <c r="B10" s="478"/>
      <c r="C10" s="478"/>
      <c r="D10" s="473"/>
      <c r="E10" s="477"/>
      <c r="F10" s="473"/>
      <c r="G10" s="473"/>
      <c r="H10" s="473"/>
      <c r="I10" s="477"/>
      <c r="J10" s="473"/>
      <c r="K10" s="473"/>
      <c r="L10" s="473"/>
      <c r="M10" s="474"/>
    </row>
    <row r="11" spans="1:16" x14ac:dyDescent="0.2">
      <c r="A11" s="475"/>
      <c r="B11" s="473"/>
      <c r="C11" s="473"/>
      <c r="D11" s="473"/>
      <c r="E11" s="477"/>
      <c r="F11" s="473"/>
      <c r="G11" s="473"/>
      <c r="H11" s="473"/>
      <c r="I11" s="477"/>
      <c r="J11" s="473"/>
      <c r="K11" s="473"/>
      <c r="L11" s="473"/>
      <c r="M11" s="474"/>
    </row>
    <row r="12" spans="1:16" x14ac:dyDescent="0.2">
      <c r="A12" s="475"/>
      <c r="B12" s="478"/>
      <c r="C12" s="478"/>
      <c r="D12" s="473"/>
      <c r="E12" s="477"/>
      <c r="F12" s="473"/>
      <c r="G12" s="473"/>
      <c r="H12" s="473"/>
      <c r="I12" s="477"/>
      <c r="J12" s="473"/>
      <c r="K12" s="473"/>
      <c r="L12" s="473"/>
      <c r="M12" s="474"/>
    </row>
    <row r="13" spans="1:16" x14ac:dyDescent="0.2">
      <c r="A13" s="475"/>
      <c r="B13" s="473"/>
      <c r="C13" s="473"/>
      <c r="D13" s="473"/>
      <c r="E13" s="477"/>
      <c r="F13" s="473"/>
      <c r="G13" s="473"/>
      <c r="H13" s="473"/>
      <c r="I13" s="477"/>
      <c r="J13" s="473"/>
      <c r="K13" s="473"/>
      <c r="L13" s="473"/>
      <c r="M13" s="474"/>
    </row>
    <row r="14" spans="1:16" x14ac:dyDescent="0.2">
      <c r="A14" s="475"/>
      <c r="B14" s="472"/>
      <c r="C14" s="472"/>
      <c r="D14" s="473"/>
      <c r="E14" s="473"/>
      <c r="F14" s="473"/>
      <c r="G14" s="473"/>
      <c r="H14" s="473"/>
      <c r="I14" s="473"/>
      <c r="J14" s="473"/>
      <c r="K14" s="473"/>
      <c r="L14" s="473"/>
      <c r="M14" s="474"/>
    </row>
    <row r="15" spans="1:16" x14ac:dyDescent="0.2">
      <c r="A15" s="475"/>
      <c r="B15" s="472"/>
      <c r="C15" s="472"/>
      <c r="D15" s="472"/>
      <c r="E15" s="479"/>
      <c r="F15" s="473"/>
      <c r="G15" s="473"/>
      <c r="H15" s="473"/>
      <c r="I15" s="472"/>
      <c r="J15" s="472"/>
      <c r="K15" s="479"/>
      <c r="L15" s="473"/>
      <c r="M15" s="474"/>
      <c r="P15" s="4"/>
    </row>
    <row r="16" spans="1:16" x14ac:dyDescent="0.2">
      <c r="A16" s="475"/>
      <c r="B16" s="472"/>
      <c r="C16" s="472"/>
      <c r="D16" s="472"/>
      <c r="E16" s="479"/>
      <c r="F16" s="473"/>
      <c r="G16" s="473"/>
      <c r="H16" s="473"/>
      <c r="I16" s="472"/>
      <c r="J16" s="472"/>
      <c r="K16" s="479"/>
      <c r="L16" s="473"/>
      <c r="M16" s="474"/>
      <c r="P16" s="4"/>
    </row>
    <row r="17" spans="1:16" x14ac:dyDescent="0.2">
      <c r="A17" s="475"/>
      <c r="B17" s="473"/>
      <c r="C17" s="472"/>
      <c r="D17" s="480" t="s">
        <v>9</v>
      </c>
      <c r="E17" s="481" t="s">
        <v>10</v>
      </c>
      <c r="F17" s="473"/>
      <c r="G17" s="473"/>
      <c r="H17" s="472"/>
      <c r="I17" s="472"/>
      <c r="J17" s="472"/>
      <c r="K17" s="482" t="s">
        <v>195</v>
      </c>
      <c r="L17" s="483" t="s">
        <v>196</v>
      </c>
      <c r="M17" s="484"/>
      <c r="P17" s="4"/>
    </row>
    <row r="18" spans="1:16" x14ac:dyDescent="0.2">
      <c r="A18" s="475"/>
      <c r="B18" s="473" t="s">
        <v>159</v>
      </c>
      <c r="C18" s="472"/>
      <c r="D18" s="485">
        <f>'Membership Record'!G7</f>
        <v>0</v>
      </c>
      <c r="E18" s="486">
        <f>'Membership Record'!P7</f>
        <v>0</v>
      </c>
      <c r="F18" s="473"/>
      <c r="G18" s="473"/>
      <c r="H18" s="487" t="s">
        <v>194</v>
      </c>
      <c r="I18" s="488"/>
      <c r="J18" s="488"/>
      <c r="K18" s="489">
        <f>L18/90</f>
        <v>0</v>
      </c>
      <c r="L18" s="490">
        <f>'Candidate-Initiation Fee Tracke'!F4</f>
        <v>0</v>
      </c>
      <c r="M18" s="484"/>
      <c r="P18" s="4"/>
    </row>
    <row r="19" spans="1:16" x14ac:dyDescent="0.2">
      <c r="A19" s="475"/>
      <c r="B19" s="473" t="s">
        <v>160</v>
      </c>
      <c r="C19" s="473"/>
      <c r="D19" s="491">
        <f>'Membership Record'!H7</f>
        <v>0</v>
      </c>
      <c r="E19" s="492">
        <f>'Membership Record'!Q7</f>
        <v>0</v>
      </c>
      <c r="F19" s="473"/>
      <c r="G19" s="473"/>
      <c r="H19" s="473" t="s">
        <v>192</v>
      </c>
      <c r="I19" s="493"/>
      <c r="J19" s="473"/>
      <c r="K19" s="494">
        <f>L19/220</f>
        <v>0</v>
      </c>
      <c r="L19" s="495">
        <f>'Candidate-Initiation Fee Tracke'!L4</f>
        <v>0</v>
      </c>
      <c r="M19" s="474"/>
      <c r="P19" s="4"/>
    </row>
    <row r="20" spans="1:16" x14ac:dyDescent="0.2">
      <c r="A20" s="475"/>
      <c r="B20" s="473" t="s">
        <v>161</v>
      </c>
      <c r="C20" s="473"/>
      <c r="D20" s="478">
        <f>'Membership Record'!L7</f>
        <v>0</v>
      </c>
      <c r="E20" s="478">
        <f>'Membership Record'!U7</f>
        <v>0</v>
      </c>
      <c r="F20" s="473"/>
      <c r="G20" s="473"/>
      <c r="H20" s="473"/>
      <c r="I20" s="473"/>
      <c r="J20" s="473"/>
      <c r="K20" s="473"/>
      <c r="L20" s="473"/>
      <c r="M20" s="474"/>
    </row>
    <row r="21" spans="1:16" ht="13.5" thickBot="1" x14ac:dyDescent="0.25">
      <c r="A21" s="496"/>
      <c r="B21" s="497"/>
      <c r="C21" s="497"/>
      <c r="D21" s="498"/>
      <c r="E21" s="498"/>
      <c r="F21" s="497"/>
      <c r="G21" s="497"/>
      <c r="H21" s="497"/>
      <c r="I21" s="497"/>
      <c r="J21" s="497"/>
      <c r="K21" s="497"/>
      <c r="L21" s="497"/>
      <c r="M21" s="499"/>
    </row>
    <row r="22" spans="1:16" ht="13.5" thickBot="1" x14ac:dyDescent="0.25">
      <c r="A22" s="500"/>
      <c r="B22" s="500"/>
      <c r="C22" s="501"/>
      <c r="D22" s="501"/>
      <c r="E22" s="500"/>
      <c r="F22" s="500"/>
      <c r="G22" s="500"/>
      <c r="H22" s="500"/>
      <c r="I22" s="500"/>
      <c r="J22" s="500"/>
      <c r="K22" s="500"/>
      <c r="L22" s="500"/>
      <c r="M22" s="500"/>
    </row>
    <row r="23" spans="1:16" x14ac:dyDescent="0.2">
      <c r="A23" s="502"/>
      <c r="B23" s="503"/>
      <c r="C23" s="503"/>
      <c r="D23" s="503"/>
      <c r="E23" s="503"/>
      <c r="F23" s="503"/>
      <c r="G23" s="503"/>
      <c r="H23" s="503"/>
      <c r="I23" s="503"/>
      <c r="J23" s="503"/>
      <c r="K23" s="503"/>
      <c r="L23" s="503"/>
      <c r="M23" s="504"/>
    </row>
    <row r="24" spans="1:16" x14ac:dyDescent="0.2">
      <c r="A24" s="505"/>
      <c r="B24" s="506"/>
      <c r="C24" s="506"/>
      <c r="D24" s="506"/>
      <c r="E24" s="506"/>
      <c r="F24" s="506"/>
      <c r="G24" s="506"/>
      <c r="H24" s="506"/>
      <c r="I24" s="506"/>
      <c r="J24" s="506"/>
      <c r="K24" s="480" t="s">
        <v>9</v>
      </c>
      <c r="L24" s="481" t="s">
        <v>10</v>
      </c>
      <c r="M24" s="507"/>
    </row>
    <row r="25" spans="1:16" x14ac:dyDescent="0.2">
      <c r="A25" s="505"/>
      <c r="B25" s="506"/>
      <c r="C25" s="506"/>
      <c r="D25" s="506"/>
      <c r="E25" s="506"/>
      <c r="F25" s="506"/>
      <c r="G25" s="506"/>
      <c r="H25" s="508" t="s">
        <v>162</v>
      </c>
      <c r="I25" s="506"/>
      <c r="J25" s="506"/>
      <c r="K25" s="509">
        <f>'Membership Record'!I10</f>
        <v>0</v>
      </c>
      <c r="L25" s="510">
        <f>'Membership Record'!R10</f>
        <v>0</v>
      </c>
      <c r="M25" s="507"/>
    </row>
    <row r="26" spans="1:16" x14ac:dyDescent="0.2">
      <c r="A26" s="505"/>
      <c r="B26" s="506"/>
      <c r="C26" s="506"/>
      <c r="D26" s="506"/>
      <c r="E26" s="506"/>
      <c r="F26" s="506"/>
      <c r="G26" s="506"/>
      <c r="H26" s="511" t="s">
        <v>163</v>
      </c>
      <c r="I26" s="506"/>
      <c r="J26" s="506"/>
      <c r="K26" s="509">
        <f>BUDGET!F14</f>
        <v>0</v>
      </c>
      <c r="L26" s="510">
        <f>BUDGET!G14</f>
        <v>0</v>
      </c>
      <c r="M26" s="507"/>
    </row>
    <row r="27" spans="1:16" x14ac:dyDescent="0.2">
      <c r="A27" s="505"/>
      <c r="B27" s="506"/>
      <c r="C27" s="506"/>
      <c r="D27" s="506"/>
      <c r="E27" s="506"/>
      <c r="F27" s="506"/>
      <c r="G27" s="506"/>
      <c r="H27" s="506"/>
      <c r="I27" s="506"/>
      <c r="J27" s="506"/>
      <c r="K27" s="506"/>
      <c r="L27" s="512"/>
      <c r="M27" s="507"/>
    </row>
    <row r="28" spans="1:16" x14ac:dyDescent="0.2">
      <c r="A28" s="505"/>
      <c r="B28" s="506"/>
      <c r="C28" s="506"/>
      <c r="D28" s="506"/>
      <c r="E28" s="506"/>
      <c r="F28" s="506"/>
      <c r="G28" s="506"/>
      <c r="H28" s="506" t="s">
        <v>164</v>
      </c>
      <c r="I28" s="506"/>
      <c r="J28" s="506"/>
      <c r="K28" s="509">
        <f>BUDGET!B18</f>
        <v>0</v>
      </c>
      <c r="L28" s="510">
        <f>BUDGET!C18</f>
        <v>0</v>
      </c>
      <c r="M28" s="507"/>
    </row>
    <row r="29" spans="1:16" x14ac:dyDescent="0.2">
      <c r="A29" s="505"/>
      <c r="B29" s="506"/>
      <c r="C29" s="506"/>
      <c r="D29" s="506"/>
      <c r="E29" s="506"/>
      <c r="F29" s="506"/>
      <c r="G29" s="506"/>
      <c r="H29" s="506" t="s">
        <v>165</v>
      </c>
      <c r="I29" s="506"/>
      <c r="J29" s="506"/>
      <c r="K29" s="509">
        <f>BUDGET!F18</f>
        <v>0</v>
      </c>
      <c r="L29" s="510">
        <f>BUDGET!G18</f>
        <v>0</v>
      </c>
      <c r="M29" s="507"/>
    </row>
    <row r="30" spans="1:16" x14ac:dyDescent="0.2">
      <c r="A30" s="505"/>
      <c r="B30" s="506"/>
      <c r="C30" s="506"/>
      <c r="D30" s="506"/>
      <c r="E30" s="506"/>
      <c r="F30" s="506"/>
      <c r="G30" s="506"/>
      <c r="H30" s="506"/>
      <c r="I30" s="506"/>
      <c r="J30" s="506"/>
      <c r="K30" s="506"/>
      <c r="L30" s="512"/>
      <c r="M30" s="507"/>
    </row>
    <row r="31" spans="1:16" x14ac:dyDescent="0.2">
      <c r="A31" s="505"/>
      <c r="B31" s="506"/>
      <c r="C31" s="506"/>
      <c r="D31" s="506"/>
      <c r="E31" s="506"/>
      <c r="F31" s="506"/>
      <c r="G31" s="506"/>
      <c r="H31" s="912" t="s">
        <v>204</v>
      </c>
      <c r="I31" s="912"/>
      <c r="J31" s="506"/>
      <c r="K31" s="506"/>
      <c r="L31" s="512"/>
      <c r="M31" s="507"/>
    </row>
    <row r="32" spans="1:16" ht="20.25" x14ac:dyDescent="0.55000000000000004">
      <c r="A32" s="505"/>
      <c r="B32" s="506"/>
      <c r="C32" s="506"/>
      <c r="D32" s="506"/>
      <c r="E32" s="506"/>
      <c r="F32" s="506"/>
      <c r="G32" s="506"/>
      <c r="H32" s="912"/>
      <c r="I32" s="912"/>
      <c r="J32" s="506"/>
      <c r="K32" s="513">
        <f>BUDGET!B20</f>
        <v>0</v>
      </c>
      <c r="L32" s="514">
        <f>BUDGET!C20</f>
        <v>0</v>
      </c>
      <c r="M32" s="507"/>
    </row>
    <row r="33" spans="1:13" x14ac:dyDescent="0.2">
      <c r="A33" s="505"/>
      <c r="B33" s="506"/>
      <c r="C33" s="506"/>
      <c r="D33" s="506"/>
      <c r="E33" s="506"/>
      <c r="F33" s="506"/>
      <c r="G33" s="506"/>
      <c r="H33" s="506"/>
      <c r="I33" s="506"/>
      <c r="J33" s="506"/>
      <c r="K33" s="506"/>
      <c r="L33" s="512"/>
      <c r="M33" s="507"/>
    </row>
    <row r="34" spans="1:13" x14ac:dyDescent="0.2">
      <c r="A34" s="505"/>
      <c r="B34" s="506"/>
      <c r="C34" s="506"/>
      <c r="D34" s="506"/>
      <c r="E34" s="515"/>
      <c r="F34" s="506"/>
      <c r="G34" s="506"/>
      <c r="H34" s="913" t="s">
        <v>205</v>
      </c>
      <c r="I34" s="913"/>
      <c r="J34" s="506"/>
      <c r="K34" s="506"/>
      <c r="L34" s="512"/>
      <c r="M34" s="507"/>
    </row>
    <row r="35" spans="1:13" ht="20.25" x14ac:dyDescent="0.55000000000000004">
      <c r="A35" s="505"/>
      <c r="B35" s="506"/>
      <c r="C35" s="506"/>
      <c r="D35" s="506"/>
      <c r="E35" s="515"/>
      <c r="F35" s="506"/>
      <c r="G35" s="506"/>
      <c r="H35" s="913"/>
      <c r="I35" s="913"/>
      <c r="J35" s="506"/>
      <c r="K35" s="513">
        <f>BUDGET!F20</f>
        <v>0</v>
      </c>
      <c r="L35" s="514">
        <f>BUDGET!G20</f>
        <v>0</v>
      </c>
      <c r="M35" s="507"/>
    </row>
    <row r="36" spans="1:13" x14ac:dyDescent="0.2">
      <c r="A36" s="505"/>
      <c r="B36" s="506"/>
      <c r="C36" s="506"/>
      <c r="D36" s="506"/>
      <c r="E36" s="506"/>
      <c r="F36" s="506"/>
      <c r="G36" s="506"/>
      <c r="H36" s="506"/>
      <c r="I36" s="506"/>
      <c r="J36" s="506"/>
      <c r="K36" s="506"/>
      <c r="L36" s="512"/>
      <c r="M36" s="507"/>
    </row>
    <row r="37" spans="1:13" x14ac:dyDescent="0.2">
      <c r="A37" s="505"/>
      <c r="B37" s="506"/>
      <c r="C37" s="506"/>
      <c r="D37" s="506"/>
      <c r="E37" s="506"/>
      <c r="F37" s="506"/>
      <c r="G37" s="506"/>
      <c r="H37" s="506" t="s">
        <v>38</v>
      </c>
      <c r="I37" s="506"/>
      <c r="J37" s="506"/>
      <c r="K37" s="506"/>
      <c r="L37" s="512"/>
      <c r="M37" s="507"/>
    </row>
    <row r="38" spans="1:13" ht="15" x14ac:dyDescent="0.35">
      <c r="A38" s="505"/>
      <c r="B38" s="506"/>
      <c r="C38" s="506"/>
      <c r="D38" s="506"/>
      <c r="E38" s="506"/>
      <c r="F38" s="506"/>
      <c r="G38" s="506"/>
      <c r="H38" s="506" t="s">
        <v>168</v>
      </c>
      <c r="I38" s="506"/>
      <c r="J38" s="506"/>
      <c r="K38" s="516">
        <f>BUDGET!J20</f>
        <v>0</v>
      </c>
      <c r="L38" s="517">
        <f>BUDGET!K20</f>
        <v>0</v>
      </c>
      <c r="M38" s="507"/>
    </row>
    <row r="39" spans="1:13" x14ac:dyDescent="0.2">
      <c r="A39" s="505"/>
      <c r="B39" s="506"/>
      <c r="C39" s="506"/>
      <c r="D39" s="506"/>
      <c r="E39" s="506"/>
      <c r="F39" s="506"/>
      <c r="G39" s="506"/>
      <c r="H39" s="506"/>
      <c r="I39" s="506"/>
      <c r="J39" s="506"/>
      <c r="K39" s="518"/>
      <c r="L39" s="506"/>
      <c r="M39" s="507"/>
    </row>
    <row r="40" spans="1:13" x14ac:dyDescent="0.2">
      <c r="A40" s="505"/>
      <c r="B40" s="506"/>
      <c r="C40" s="506"/>
      <c r="D40" s="506"/>
      <c r="E40" s="506"/>
      <c r="F40" s="506"/>
      <c r="G40" s="506"/>
      <c r="H40" s="506" t="s">
        <v>431</v>
      </c>
      <c r="I40" s="506"/>
      <c r="J40" s="506"/>
      <c r="K40" s="519">
        <f>IF(ISERROR(K35/K32),0,K35/K32)</f>
        <v>0</v>
      </c>
      <c r="L40" s="520">
        <f>IF(ISERROR(L35/L32),0,L35/L32)</f>
        <v>0</v>
      </c>
      <c r="M40" s="507"/>
    </row>
    <row r="41" spans="1:13" x14ac:dyDescent="0.2">
      <c r="A41" s="505"/>
      <c r="B41" s="506"/>
      <c r="C41" s="506"/>
      <c r="D41" s="506"/>
      <c r="E41" s="506"/>
      <c r="F41" s="506"/>
      <c r="G41" s="506"/>
      <c r="H41" s="506" t="s">
        <v>432</v>
      </c>
      <c r="I41" s="506"/>
      <c r="J41" s="506"/>
      <c r="K41" s="506"/>
      <c r="L41" s="506"/>
      <c r="M41" s="507"/>
    </row>
    <row r="42" spans="1:13" ht="13.5" thickBot="1" x14ac:dyDescent="0.25">
      <c r="A42" s="521"/>
      <c r="B42" s="522"/>
      <c r="C42" s="522"/>
      <c r="D42" s="522"/>
      <c r="E42" s="522"/>
      <c r="F42" s="522"/>
      <c r="G42" s="522"/>
      <c r="H42" s="522"/>
      <c r="I42" s="522"/>
      <c r="J42" s="522"/>
      <c r="K42" s="522"/>
      <c r="L42" s="522"/>
      <c r="M42" s="523"/>
    </row>
    <row r="43" spans="1:13" ht="13.5" thickBot="1" x14ac:dyDescent="0.25">
      <c r="A43" s="500"/>
      <c r="B43" s="500"/>
      <c r="C43" s="500"/>
      <c r="D43" s="500"/>
      <c r="E43" s="500"/>
      <c r="F43" s="500"/>
      <c r="G43" s="500"/>
      <c r="H43" s="500"/>
      <c r="I43" s="500"/>
      <c r="J43" s="500"/>
      <c r="K43" s="500"/>
      <c r="L43" s="500"/>
      <c r="M43" s="500"/>
    </row>
    <row r="44" spans="1:13" x14ac:dyDescent="0.2">
      <c r="A44" s="524"/>
      <c r="B44" s="525"/>
      <c r="C44" s="525"/>
      <c r="D44" s="525"/>
      <c r="E44" s="525"/>
      <c r="F44" s="525"/>
      <c r="G44" s="525"/>
      <c r="H44" s="525"/>
      <c r="I44" s="525"/>
      <c r="J44" s="525"/>
      <c r="K44" s="525"/>
      <c r="L44" s="525"/>
      <c r="M44" s="526"/>
    </row>
    <row r="45" spans="1:13" x14ac:dyDescent="0.2">
      <c r="A45" s="527"/>
      <c r="B45" s="528"/>
      <c r="C45" s="528"/>
      <c r="D45" s="528"/>
      <c r="E45" s="528"/>
      <c r="F45" s="528"/>
      <c r="G45" s="528"/>
      <c r="H45" s="528"/>
      <c r="I45" s="528"/>
      <c r="J45" s="528"/>
      <c r="K45" s="528"/>
      <c r="L45" s="528"/>
      <c r="M45" s="529"/>
    </row>
    <row r="46" spans="1:13" x14ac:dyDescent="0.2">
      <c r="A46" s="527"/>
      <c r="B46" s="528"/>
      <c r="C46" s="528"/>
      <c r="D46" s="528"/>
      <c r="E46" s="530" t="s">
        <v>9</v>
      </c>
      <c r="F46" s="480" t="s">
        <v>10</v>
      </c>
      <c r="G46" s="528"/>
      <c r="H46" s="528"/>
      <c r="I46" s="528"/>
      <c r="J46" s="528"/>
      <c r="K46" s="528"/>
      <c r="L46" s="528"/>
      <c r="M46" s="529"/>
    </row>
    <row r="47" spans="1:13" x14ac:dyDescent="0.2">
      <c r="A47" s="527"/>
      <c r="B47" s="528" t="s">
        <v>434</v>
      </c>
      <c r="C47" s="528"/>
      <c r="D47" s="528"/>
      <c r="E47" s="531"/>
      <c r="F47" s="528"/>
      <c r="G47" s="528"/>
      <c r="H47" s="528"/>
      <c r="I47" s="528"/>
      <c r="J47" s="528"/>
      <c r="K47" s="528"/>
      <c r="L47" s="528"/>
      <c r="M47" s="529"/>
    </row>
    <row r="48" spans="1:13" x14ac:dyDescent="0.2">
      <c r="A48" s="527"/>
      <c r="B48" s="528" t="s">
        <v>166</v>
      </c>
      <c r="C48" s="528"/>
      <c r="D48" s="528"/>
      <c r="E48" s="532">
        <f>BUDGET!B27</f>
        <v>0</v>
      </c>
      <c r="F48" s="533">
        <f>BUDGET!C27</f>
        <v>0</v>
      </c>
      <c r="G48" s="528"/>
      <c r="H48" s="528"/>
      <c r="I48" s="528"/>
      <c r="J48" s="528"/>
      <c r="K48" s="528"/>
      <c r="L48" s="528"/>
      <c r="M48" s="529"/>
    </row>
    <row r="49" spans="1:13" x14ac:dyDescent="0.2">
      <c r="A49" s="527"/>
      <c r="B49" s="528"/>
      <c r="C49" s="528"/>
      <c r="D49" s="528"/>
      <c r="E49" s="531"/>
      <c r="F49" s="528"/>
      <c r="G49" s="528"/>
      <c r="H49" s="528"/>
      <c r="I49" s="528"/>
      <c r="J49" s="528"/>
      <c r="K49" s="528"/>
      <c r="L49" s="528"/>
      <c r="M49" s="529"/>
    </row>
    <row r="50" spans="1:13" x14ac:dyDescent="0.2">
      <c r="A50" s="527"/>
      <c r="B50" s="534" t="s">
        <v>434</v>
      </c>
      <c r="C50" s="534"/>
      <c r="D50" s="534"/>
      <c r="E50" s="531"/>
      <c r="F50" s="528"/>
      <c r="G50" s="528"/>
      <c r="H50" s="528"/>
      <c r="I50" s="528"/>
      <c r="J50" s="528"/>
      <c r="K50" s="528"/>
      <c r="L50" s="528"/>
      <c r="M50" s="529"/>
    </row>
    <row r="51" spans="1:13" x14ac:dyDescent="0.2">
      <c r="A51" s="527"/>
      <c r="B51" s="534" t="s">
        <v>167</v>
      </c>
      <c r="C51" s="534"/>
      <c r="D51" s="534"/>
      <c r="E51" s="535">
        <f>BUDGET!F27</f>
        <v>0</v>
      </c>
      <c r="F51" s="536">
        <f>BUDGET!G27</f>
        <v>0</v>
      </c>
      <c r="G51" s="528"/>
      <c r="H51" s="528"/>
      <c r="I51" s="528"/>
      <c r="J51" s="528"/>
      <c r="K51" s="528"/>
      <c r="L51" s="528"/>
      <c r="M51" s="529"/>
    </row>
    <row r="52" spans="1:13" x14ac:dyDescent="0.2">
      <c r="A52" s="527"/>
      <c r="B52" s="528"/>
      <c r="C52" s="528"/>
      <c r="D52" s="528"/>
      <c r="E52" s="531"/>
      <c r="F52" s="528"/>
      <c r="G52" s="528"/>
      <c r="H52" s="528"/>
      <c r="I52" s="528"/>
      <c r="J52" s="528"/>
      <c r="K52" s="528"/>
      <c r="L52" s="528"/>
      <c r="M52" s="529"/>
    </row>
    <row r="53" spans="1:13" x14ac:dyDescent="0.2">
      <c r="A53" s="527"/>
      <c r="B53" s="528" t="s">
        <v>435</v>
      </c>
      <c r="C53" s="528"/>
      <c r="D53" s="528"/>
      <c r="E53" s="531"/>
      <c r="F53" s="528"/>
      <c r="G53" s="528"/>
      <c r="H53" s="528"/>
      <c r="I53" s="528"/>
      <c r="J53" s="528"/>
      <c r="K53" s="528"/>
      <c r="L53" s="528"/>
      <c r="M53" s="529"/>
    </row>
    <row r="54" spans="1:13" x14ac:dyDescent="0.2">
      <c r="A54" s="527"/>
      <c r="B54" s="528" t="s">
        <v>166</v>
      </c>
      <c r="C54" s="528"/>
      <c r="D54" s="528"/>
      <c r="E54" s="537">
        <f>BUDGET!B28</f>
        <v>0</v>
      </c>
      <c r="F54" s="538">
        <f>BUDGET!C28</f>
        <v>0</v>
      </c>
      <c r="G54" s="528"/>
      <c r="H54" s="528"/>
      <c r="I54" s="528"/>
      <c r="J54" s="528"/>
      <c r="K54" s="528"/>
      <c r="L54" s="528"/>
      <c r="M54" s="529"/>
    </row>
    <row r="55" spans="1:13" x14ac:dyDescent="0.2">
      <c r="A55" s="527"/>
      <c r="B55" s="528"/>
      <c r="C55" s="528"/>
      <c r="D55" s="528"/>
      <c r="E55" s="531"/>
      <c r="F55" s="528"/>
      <c r="G55" s="528"/>
      <c r="H55" s="528"/>
      <c r="I55" s="528"/>
      <c r="J55" s="528"/>
      <c r="K55" s="528"/>
      <c r="L55" s="528"/>
      <c r="M55" s="529"/>
    </row>
    <row r="56" spans="1:13" x14ac:dyDescent="0.2">
      <c r="A56" s="539"/>
      <c r="B56" s="540" t="s">
        <v>435</v>
      </c>
      <c r="C56" s="540"/>
      <c r="D56" s="540"/>
      <c r="E56" s="541"/>
      <c r="F56" s="542"/>
      <c r="G56" s="542"/>
      <c r="H56" s="542"/>
      <c r="I56" s="542"/>
      <c r="J56" s="542"/>
      <c r="K56" s="542"/>
      <c r="L56" s="542"/>
      <c r="M56" s="543"/>
    </row>
    <row r="57" spans="1:13" x14ac:dyDescent="0.2">
      <c r="A57" s="539"/>
      <c r="B57" s="540" t="s">
        <v>167</v>
      </c>
      <c r="C57" s="540"/>
      <c r="D57" s="540"/>
      <c r="E57" s="544">
        <f>BUDGET!F28</f>
        <v>0</v>
      </c>
      <c r="F57" s="545">
        <f>BUDGET!G28</f>
        <v>0</v>
      </c>
      <c r="G57" s="542"/>
      <c r="H57" s="542"/>
      <c r="I57" s="542"/>
      <c r="J57" s="542"/>
      <c r="K57" s="542"/>
      <c r="L57" s="542"/>
      <c r="M57" s="543"/>
    </row>
    <row r="58" spans="1:13" x14ac:dyDescent="0.2">
      <c r="A58" s="539"/>
      <c r="B58" s="542"/>
      <c r="C58" s="542"/>
      <c r="D58" s="542"/>
      <c r="E58" s="541"/>
      <c r="F58" s="542"/>
      <c r="G58" s="542"/>
      <c r="H58" s="542"/>
      <c r="I58" s="542"/>
      <c r="J58" s="542"/>
      <c r="K58" s="542"/>
      <c r="L58" s="542"/>
      <c r="M58" s="543"/>
    </row>
    <row r="59" spans="1:13" x14ac:dyDescent="0.2">
      <c r="A59" s="539"/>
      <c r="B59" s="542" t="s">
        <v>436</v>
      </c>
      <c r="C59" s="542"/>
      <c r="D59" s="542"/>
      <c r="E59" s="541"/>
      <c r="F59" s="542"/>
      <c r="G59" s="542"/>
      <c r="H59" s="542"/>
      <c r="I59" s="542"/>
      <c r="J59" s="542"/>
      <c r="K59" s="542"/>
      <c r="L59" s="542"/>
      <c r="M59" s="543"/>
    </row>
    <row r="60" spans="1:13" x14ac:dyDescent="0.2">
      <c r="A60" s="539"/>
      <c r="B60" s="542" t="s">
        <v>166</v>
      </c>
      <c r="C60" s="542"/>
      <c r="D60" s="542"/>
      <c r="E60" s="546">
        <f>BUDGET!B47</f>
        <v>0</v>
      </c>
      <c r="F60" s="547">
        <f>BUDGET!C47</f>
        <v>0</v>
      </c>
      <c r="G60" s="542"/>
      <c r="H60" s="542"/>
      <c r="I60" s="542"/>
      <c r="J60" s="542"/>
      <c r="K60" s="542"/>
      <c r="L60" s="542"/>
      <c r="M60" s="543"/>
    </row>
    <row r="61" spans="1:13" x14ac:dyDescent="0.2">
      <c r="A61" s="539"/>
      <c r="B61" s="542"/>
      <c r="C61" s="542"/>
      <c r="D61" s="542"/>
      <c r="E61" s="541"/>
      <c r="F61" s="542"/>
      <c r="G61" s="542"/>
      <c r="H61" s="542"/>
      <c r="I61" s="542"/>
      <c r="J61" s="542"/>
      <c r="K61" s="542"/>
      <c r="L61" s="542"/>
      <c r="M61" s="543"/>
    </row>
    <row r="62" spans="1:13" x14ac:dyDescent="0.2">
      <c r="A62" s="539"/>
      <c r="B62" s="542" t="s">
        <v>436</v>
      </c>
      <c r="C62" s="542"/>
      <c r="D62" s="542"/>
      <c r="E62" s="541"/>
      <c r="F62" s="542"/>
      <c r="G62" s="542"/>
      <c r="H62" s="542"/>
      <c r="I62" s="542"/>
      <c r="J62" s="542"/>
      <c r="K62" s="542"/>
      <c r="L62" s="542"/>
      <c r="M62" s="543"/>
    </row>
    <row r="63" spans="1:13" x14ac:dyDescent="0.2">
      <c r="A63" s="539"/>
      <c r="B63" s="542" t="s">
        <v>167</v>
      </c>
      <c r="C63" s="542"/>
      <c r="D63" s="542"/>
      <c r="E63" s="546">
        <f>BUDGET!F35</f>
        <v>0</v>
      </c>
      <c r="F63" s="547">
        <f>BUDGET!G47</f>
        <v>0</v>
      </c>
      <c r="G63" s="542"/>
      <c r="H63" s="542"/>
      <c r="I63" s="542"/>
      <c r="J63" s="542"/>
      <c r="K63" s="542"/>
      <c r="L63" s="542"/>
      <c r="M63" s="543"/>
    </row>
    <row r="64" spans="1:13" x14ac:dyDescent="0.2">
      <c r="A64" s="539"/>
      <c r="B64" s="542"/>
      <c r="C64" s="542"/>
      <c r="D64" s="542"/>
      <c r="E64" s="541"/>
      <c r="F64" s="542"/>
      <c r="G64" s="542"/>
      <c r="H64" s="542"/>
      <c r="I64" s="542"/>
      <c r="J64" s="542"/>
      <c r="K64" s="542"/>
      <c r="L64" s="542"/>
      <c r="M64" s="543"/>
    </row>
    <row r="65" spans="1:15" x14ac:dyDescent="0.2">
      <c r="A65" s="539"/>
      <c r="B65" s="542" t="s">
        <v>431</v>
      </c>
      <c r="C65" s="542"/>
      <c r="D65" s="542"/>
      <c r="E65" s="548">
        <f>IF(ISERROR((BUDGET!F37+BUDGET!F49)/(BUDGET!B37+BUDGET!B49)),0,(BUDGET!F37+BUDGET!F49)/(BUDGET!B37+BUDGET!B49))</f>
        <v>0</v>
      </c>
      <c r="F65" s="549">
        <f>IF(ISERROR((BUDGET!G37+BUDGET!G49)/(BUDGET!C37+BUDGET!C49)),0,(BUDGET!G37+BUDGET!G49)/(BUDGET!C37+BUDGET!C49))</f>
        <v>0</v>
      </c>
      <c r="G65" s="542"/>
      <c r="H65" s="542"/>
      <c r="I65" s="542"/>
      <c r="J65" s="542"/>
      <c r="K65" s="542"/>
      <c r="L65" s="542"/>
      <c r="M65" s="543"/>
    </row>
    <row r="66" spans="1:15" x14ac:dyDescent="0.2">
      <c r="A66" s="539"/>
      <c r="B66" s="542" t="s">
        <v>433</v>
      </c>
      <c r="C66" s="542"/>
      <c r="D66" s="542"/>
      <c r="E66" s="541"/>
      <c r="F66" s="542"/>
      <c r="G66" s="542"/>
      <c r="H66" s="542"/>
      <c r="I66" s="542"/>
      <c r="J66" s="542"/>
      <c r="K66" s="542"/>
      <c r="L66" s="542"/>
      <c r="M66" s="543"/>
    </row>
    <row r="67" spans="1:15" ht="13.5" thickBot="1" x14ac:dyDescent="0.25">
      <c r="A67" s="550"/>
      <c r="B67" s="551"/>
      <c r="C67" s="551"/>
      <c r="D67" s="551"/>
      <c r="E67" s="551"/>
      <c r="F67" s="551"/>
      <c r="G67" s="551"/>
      <c r="H67" s="551"/>
      <c r="I67" s="551"/>
      <c r="J67" s="551"/>
      <c r="K67" s="551"/>
      <c r="L67" s="551"/>
      <c r="M67" s="552"/>
    </row>
    <row r="68" spans="1:15" ht="13.5" thickBot="1" x14ac:dyDescent="0.25">
      <c r="A68" s="500"/>
      <c r="B68" s="500"/>
      <c r="C68" s="500"/>
      <c r="D68" s="500"/>
      <c r="E68" s="500"/>
      <c r="F68" s="500"/>
      <c r="G68" s="500"/>
      <c r="H68" s="500"/>
      <c r="I68" s="500"/>
      <c r="J68" s="500"/>
      <c r="K68" s="500"/>
      <c r="L68" s="500"/>
      <c r="M68" s="500"/>
      <c r="N68" s="5"/>
      <c r="O68" s="5"/>
    </row>
    <row r="69" spans="1:15" x14ac:dyDescent="0.2">
      <c r="A69" s="502"/>
      <c r="B69" s="503"/>
      <c r="C69" s="503"/>
      <c r="D69" s="503"/>
      <c r="E69" s="503"/>
      <c r="F69" s="503"/>
      <c r="G69" s="503"/>
      <c r="H69" s="503"/>
      <c r="I69" s="503"/>
      <c r="J69" s="503"/>
      <c r="K69" s="503"/>
      <c r="L69" s="503"/>
      <c r="M69" s="504"/>
      <c r="N69" s="5"/>
      <c r="O69" s="5"/>
    </row>
    <row r="70" spans="1:15" x14ac:dyDescent="0.2">
      <c r="A70" s="505"/>
      <c r="B70" s="506"/>
      <c r="C70" s="506"/>
      <c r="D70" s="506"/>
      <c r="E70" s="506"/>
      <c r="F70" s="506"/>
      <c r="G70" s="506"/>
      <c r="H70" s="506"/>
      <c r="I70" s="506"/>
      <c r="J70" s="506"/>
      <c r="K70" s="506"/>
      <c r="L70" s="506"/>
      <c r="M70" s="507"/>
      <c r="N70" s="5"/>
      <c r="O70" s="5"/>
    </row>
    <row r="71" spans="1:15" x14ac:dyDescent="0.2">
      <c r="A71" s="505"/>
      <c r="B71" s="506"/>
      <c r="C71" s="506"/>
      <c r="D71" s="506"/>
      <c r="E71" s="506"/>
      <c r="F71" s="506"/>
      <c r="G71" s="506"/>
      <c r="H71" s="506"/>
      <c r="I71" s="506"/>
      <c r="J71" s="506"/>
      <c r="K71" s="506"/>
      <c r="L71" s="506"/>
      <c r="M71" s="507"/>
      <c r="N71" s="5"/>
      <c r="O71" s="5"/>
    </row>
    <row r="72" spans="1:15" x14ac:dyDescent="0.2">
      <c r="A72" s="505"/>
      <c r="B72" s="506"/>
      <c r="C72" s="506"/>
      <c r="D72" s="506"/>
      <c r="E72" s="506"/>
      <c r="F72" s="506"/>
      <c r="G72" s="506"/>
      <c r="H72" s="506"/>
      <c r="I72" s="506"/>
      <c r="J72" s="506"/>
      <c r="K72" s="506"/>
      <c r="L72" s="506"/>
      <c r="M72" s="507"/>
      <c r="N72" s="5"/>
      <c r="O72" s="5"/>
    </row>
    <row r="73" spans="1:15" x14ac:dyDescent="0.2">
      <c r="A73" s="505"/>
      <c r="B73" s="506"/>
      <c r="C73" s="506"/>
      <c r="D73" s="506"/>
      <c r="E73" s="506"/>
      <c r="F73" s="506"/>
      <c r="G73" s="506"/>
      <c r="H73" s="506"/>
      <c r="I73" s="506"/>
      <c r="J73" s="506"/>
      <c r="K73" s="506"/>
      <c r="L73" s="506"/>
      <c r="M73" s="507"/>
      <c r="N73" s="5"/>
      <c r="O73" s="5"/>
    </row>
    <row r="74" spans="1:15" x14ac:dyDescent="0.2">
      <c r="A74" s="505"/>
      <c r="B74" s="506"/>
      <c r="C74" s="506"/>
      <c r="D74" s="506"/>
      <c r="E74" s="506"/>
      <c r="F74" s="506"/>
      <c r="G74" s="506"/>
      <c r="H74" s="506"/>
      <c r="I74" s="506"/>
      <c r="J74" s="506"/>
      <c r="K74" s="506"/>
      <c r="L74" s="506"/>
      <c r="M74" s="507"/>
      <c r="N74" s="5"/>
      <c r="O74" s="5"/>
    </row>
    <row r="75" spans="1:15" x14ac:dyDescent="0.2">
      <c r="A75" s="505"/>
      <c r="B75" s="506"/>
      <c r="C75" s="506"/>
      <c r="D75" s="506"/>
      <c r="E75" s="506"/>
      <c r="F75" s="506"/>
      <c r="G75" s="506"/>
      <c r="H75" s="506"/>
      <c r="I75" s="506"/>
      <c r="J75" s="506"/>
      <c r="K75" s="506"/>
      <c r="L75" s="506"/>
      <c r="M75" s="507"/>
      <c r="N75" s="5"/>
      <c r="O75" s="5"/>
    </row>
    <row r="76" spans="1:15" x14ac:dyDescent="0.2">
      <c r="A76" s="505"/>
      <c r="B76" s="506"/>
      <c r="C76" s="506"/>
      <c r="D76" s="506"/>
      <c r="E76" s="506"/>
      <c r="F76" s="506"/>
      <c r="G76" s="506"/>
      <c r="H76" s="506"/>
      <c r="I76" s="506"/>
      <c r="J76" s="506"/>
      <c r="K76" s="506"/>
      <c r="L76" s="506"/>
      <c r="M76" s="507"/>
      <c r="N76" s="5"/>
      <c r="O76" s="5"/>
    </row>
    <row r="77" spans="1:15" x14ac:dyDescent="0.2">
      <c r="A77" s="505"/>
      <c r="B77" s="506"/>
      <c r="C77" s="506"/>
      <c r="D77" s="506"/>
      <c r="E77" s="506"/>
      <c r="F77" s="506"/>
      <c r="G77" s="506"/>
      <c r="H77" s="506"/>
      <c r="I77" s="506"/>
      <c r="J77" s="506"/>
      <c r="K77" s="506"/>
      <c r="L77" s="506"/>
      <c r="M77" s="507"/>
      <c r="N77" s="5"/>
      <c r="O77" s="5"/>
    </row>
    <row r="78" spans="1:15" x14ac:dyDescent="0.2">
      <c r="A78" s="505"/>
      <c r="B78" s="506"/>
      <c r="C78" s="506"/>
      <c r="D78" s="506"/>
      <c r="E78" s="506"/>
      <c r="F78" s="506"/>
      <c r="G78" s="506"/>
      <c r="H78" s="506"/>
      <c r="I78" s="506"/>
      <c r="J78" s="506"/>
      <c r="K78" s="506"/>
      <c r="L78" s="506"/>
      <c r="M78" s="507"/>
      <c r="N78" s="5"/>
      <c r="O78" s="5"/>
    </row>
    <row r="79" spans="1:15" x14ac:dyDescent="0.2">
      <c r="A79" s="505"/>
      <c r="B79" s="506"/>
      <c r="C79" s="506"/>
      <c r="D79" s="506"/>
      <c r="E79" s="506"/>
      <c r="F79" s="506"/>
      <c r="G79" s="506"/>
      <c r="H79" s="506"/>
      <c r="I79" s="506"/>
      <c r="J79" s="506"/>
      <c r="K79" s="506"/>
      <c r="L79" s="506"/>
      <c r="M79" s="507"/>
      <c r="N79" s="5"/>
      <c r="O79" s="5"/>
    </row>
    <row r="80" spans="1:15" x14ac:dyDescent="0.2">
      <c r="A80" s="505"/>
      <c r="B80" s="506"/>
      <c r="C80" s="506"/>
      <c r="D80" s="506"/>
      <c r="E80" s="506"/>
      <c r="F80" s="506"/>
      <c r="G80" s="506"/>
      <c r="H80" s="506"/>
      <c r="I80" s="506"/>
      <c r="J80" s="506"/>
      <c r="K80" s="506"/>
      <c r="L80" s="506"/>
      <c r="M80" s="507"/>
      <c r="N80" s="5"/>
      <c r="O80" s="5"/>
    </row>
    <row r="81" spans="1:15" x14ac:dyDescent="0.2">
      <c r="A81" s="505"/>
      <c r="B81" s="506"/>
      <c r="C81" s="506"/>
      <c r="D81" s="506"/>
      <c r="E81" s="506"/>
      <c r="F81" s="506"/>
      <c r="G81" s="506"/>
      <c r="H81" s="506"/>
      <c r="I81" s="506"/>
      <c r="J81" s="506"/>
      <c r="K81" s="506"/>
      <c r="L81" s="506"/>
      <c r="M81" s="507"/>
      <c r="N81" s="5"/>
      <c r="O81" s="5"/>
    </row>
    <row r="82" spans="1:15" x14ac:dyDescent="0.2">
      <c r="A82" s="505"/>
      <c r="B82" s="506"/>
      <c r="C82" s="506"/>
      <c r="D82" s="506"/>
      <c r="E82" s="506"/>
      <c r="F82" s="506"/>
      <c r="G82" s="506"/>
      <c r="H82" s="506"/>
      <c r="I82" s="506"/>
      <c r="J82" s="506"/>
      <c r="K82" s="506"/>
      <c r="L82" s="506"/>
      <c r="M82" s="507"/>
      <c r="N82" s="5"/>
      <c r="O82" s="5"/>
    </row>
    <row r="83" spans="1:15" x14ac:dyDescent="0.2">
      <c r="A83" s="505"/>
      <c r="B83" s="506"/>
      <c r="C83" s="506"/>
      <c r="D83" s="506"/>
      <c r="E83" s="506"/>
      <c r="F83" s="506"/>
      <c r="G83" s="506"/>
      <c r="H83" s="506"/>
      <c r="I83" s="506"/>
      <c r="J83" s="506"/>
      <c r="K83" s="506"/>
      <c r="L83" s="506"/>
      <c r="M83" s="507"/>
      <c r="N83" s="5"/>
      <c r="O83" s="5"/>
    </row>
    <row r="84" spans="1:15" x14ac:dyDescent="0.2">
      <c r="A84" s="505"/>
      <c r="B84" s="506"/>
      <c r="C84" s="506"/>
      <c r="D84" s="506"/>
      <c r="E84" s="506"/>
      <c r="F84" s="506"/>
      <c r="G84" s="506"/>
      <c r="H84" s="506"/>
      <c r="I84" s="506"/>
      <c r="J84" s="506"/>
      <c r="K84" s="506"/>
      <c r="L84" s="506"/>
      <c r="M84" s="507"/>
      <c r="N84" s="5"/>
      <c r="O84" s="5"/>
    </row>
    <row r="85" spans="1:15" x14ac:dyDescent="0.2">
      <c r="A85" s="505"/>
      <c r="B85" s="506"/>
      <c r="C85" s="506"/>
      <c r="D85" s="506"/>
      <c r="E85" s="506"/>
      <c r="F85" s="506"/>
      <c r="G85" s="506"/>
      <c r="H85" s="506"/>
      <c r="I85" s="506"/>
      <c r="J85" s="506"/>
      <c r="K85" s="506"/>
      <c r="L85" s="506"/>
      <c r="M85" s="507"/>
      <c r="N85" s="5"/>
      <c r="O85" s="5"/>
    </row>
    <row r="86" spans="1:15" x14ac:dyDescent="0.2">
      <c r="A86" s="505"/>
      <c r="B86" s="506"/>
      <c r="C86" s="506"/>
      <c r="D86" s="506"/>
      <c r="E86" s="506"/>
      <c r="F86" s="506"/>
      <c r="G86" s="506"/>
      <c r="H86" s="506"/>
      <c r="I86" s="506"/>
      <c r="J86" s="506"/>
      <c r="K86" s="506"/>
      <c r="L86" s="506"/>
      <c r="M86" s="507"/>
      <c r="N86" s="5"/>
      <c r="O86" s="5"/>
    </row>
    <row r="87" spans="1:15" x14ac:dyDescent="0.2">
      <c r="A87" s="505"/>
      <c r="B87" s="506"/>
      <c r="C87" s="506"/>
      <c r="D87" s="506"/>
      <c r="E87" s="506"/>
      <c r="F87" s="506"/>
      <c r="G87" s="506"/>
      <c r="H87" s="506"/>
      <c r="I87" s="506"/>
      <c r="J87" s="506"/>
      <c r="K87" s="506"/>
      <c r="L87" s="506"/>
      <c r="M87" s="507"/>
      <c r="N87" s="5"/>
      <c r="O87" s="5"/>
    </row>
    <row r="88" spans="1:15" x14ac:dyDescent="0.2">
      <c r="A88" s="505"/>
      <c r="B88" s="506"/>
      <c r="C88" s="506"/>
      <c r="D88" s="506"/>
      <c r="E88" s="506"/>
      <c r="F88" s="506"/>
      <c r="G88" s="506"/>
      <c r="H88" s="506"/>
      <c r="I88" s="506"/>
      <c r="J88" s="506"/>
      <c r="K88" s="506"/>
      <c r="L88" s="506"/>
      <c r="M88" s="507"/>
      <c r="N88" s="5"/>
    </row>
    <row r="89" spans="1:15" ht="15" customHeight="1" x14ac:dyDescent="0.2">
      <c r="A89" s="916" t="s">
        <v>181</v>
      </c>
      <c r="B89" s="915"/>
      <c r="C89" s="915"/>
      <c r="D89" s="915"/>
      <c r="E89" s="915"/>
      <c r="F89" s="919" t="s">
        <v>9</v>
      </c>
      <c r="G89" s="919"/>
      <c r="H89" s="919"/>
      <c r="I89" s="919"/>
      <c r="J89" s="918" t="s">
        <v>10</v>
      </c>
      <c r="K89" s="919"/>
      <c r="L89" s="919"/>
      <c r="M89" s="920"/>
    </row>
    <row r="90" spans="1:15" ht="25.5" x14ac:dyDescent="0.2">
      <c r="A90" s="505"/>
      <c r="B90" s="553" t="s">
        <v>171</v>
      </c>
      <c r="C90" s="506"/>
      <c r="D90" s="506"/>
      <c r="E90" s="506"/>
      <c r="F90" s="921" t="s">
        <v>173</v>
      </c>
      <c r="G90" s="921"/>
      <c r="H90" s="554" t="s">
        <v>51</v>
      </c>
      <c r="I90" s="555" t="s">
        <v>180</v>
      </c>
      <c r="J90" s="928" t="s">
        <v>173</v>
      </c>
      <c r="K90" s="921"/>
      <c r="L90" s="554" t="s">
        <v>51</v>
      </c>
      <c r="M90" s="556" t="s">
        <v>180</v>
      </c>
    </row>
    <row r="91" spans="1:15" x14ac:dyDescent="0.2">
      <c r="A91" s="505"/>
      <c r="B91" s="506" t="s">
        <v>172</v>
      </c>
      <c r="C91" s="506"/>
      <c r="D91" s="506"/>
      <c r="E91" s="506"/>
      <c r="F91" s="915" t="s">
        <v>437</v>
      </c>
      <c r="G91" s="915"/>
      <c r="H91" s="509">
        <f>IF(ISERROR(BUDGET!B54/2),0,(BUDGET!B54/2))</f>
        <v>0</v>
      </c>
      <c r="I91" s="557"/>
      <c r="J91" s="914" t="s">
        <v>439</v>
      </c>
      <c r="K91" s="915"/>
      <c r="L91" s="558">
        <f>IF(ISERROR(BUDGET!C54/2),0,(BUDGET!C54/2))</f>
        <v>0</v>
      </c>
      <c r="M91" s="559">
        <f>BUDGET!G54</f>
        <v>0</v>
      </c>
    </row>
    <row r="92" spans="1:15" ht="15" x14ac:dyDescent="0.35">
      <c r="A92" s="505"/>
      <c r="B92" s="506" t="s">
        <v>174</v>
      </c>
      <c r="C92" s="506"/>
      <c r="D92" s="506"/>
      <c r="E92" s="506"/>
      <c r="F92" s="915" t="s">
        <v>438</v>
      </c>
      <c r="G92" s="915"/>
      <c r="H92" s="560">
        <f>IF(ISERROR(BUDGET!B54/2),0,(BUDGET!B54/2))</f>
        <v>0</v>
      </c>
      <c r="I92" s="557"/>
      <c r="J92" s="914" t="s">
        <v>701</v>
      </c>
      <c r="K92" s="915"/>
      <c r="L92" s="558">
        <f>IF(ISERROR(BUDGET!C54/2),0,(BUDGET!C54/2))</f>
        <v>0</v>
      </c>
      <c r="M92" s="562"/>
    </row>
    <row r="93" spans="1:15" x14ac:dyDescent="0.2">
      <c r="A93" s="505"/>
      <c r="B93" s="506"/>
      <c r="C93" s="506"/>
      <c r="D93" s="506"/>
      <c r="E93" s="506"/>
      <c r="F93" s="506"/>
      <c r="G93" s="506"/>
      <c r="H93" s="558">
        <f>IF(ISERROR(BUDGET!B54),0,(BUDGET!B54))</f>
        <v>0</v>
      </c>
      <c r="I93" s="563">
        <f>BUDGET!F54</f>
        <v>0</v>
      </c>
      <c r="J93" s="561"/>
      <c r="K93" s="506"/>
      <c r="L93" s="506"/>
      <c r="M93" s="562"/>
    </row>
    <row r="94" spans="1:15" x14ac:dyDescent="0.2">
      <c r="A94" s="505"/>
      <c r="B94" s="564"/>
      <c r="C94" s="564"/>
      <c r="D94" s="564"/>
      <c r="E94" s="564"/>
      <c r="F94" s="564"/>
      <c r="G94" s="564"/>
      <c r="H94" s="564"/>
      <c r="I94" s="565"/>
      <c r="J94" s="566"/>
      <c r="K94" s="564"/>
      <c r="L94" s="564"/>
      <c r="M94" s="567"/>
    </row>
    <row r="95" spans="1:15" x14ac:dyDescent="0.2">
      <c r="A95" s="505"/>
      <c r="B95" s="553" t="s">
        <v>175</v>
      </c>
      <c r="C95" s="506"/>
      <c r="D95" s="506"/>
      <c r="E95" s="506"/>
      <c r="F95" s="506"/>
      <c r="G95" s="506"/>
      <c r="H95" s="506"/>
      <c r="I95" s="557"/>
      <c r="J95" s="561"/>
      <c r="K95" s="506"/>
      <c r="L95" s="506"/>
      <c r="M95" s="562"/>
    </row>
    <row r="96" spans="1:15" x14ac:dyDescent="0.2">
      <c r="A96" s="505"/>
      <c r="B96" s="506" t="s">
        <v>172</v>
      </c>
      <c r="C96" s="506"/>
      <c r="D96" s="506"/>
      <c r="E96" s="506"/>
      <c r="F96" s="915" t="s">
        <v>440</v>
      </c>
      <c r="G96" s="915"/>
      <c r="H96" s="509">
        <f>BUDGET!B56/2</f>
        <v>700</v>
      </c>
      <c r="I96" s="557"/>
      <c r="J96" s="914" t="s">
        <v>442</v>
      </c>
      <c r="K96" s="915"/>
      <c r="L96" s="509">
        <f>BUDGET!C56/2</f>
        <v>700</v>
      </c>
      <c r="M96" s="562"/>
    </row>
    <row r="97" spans="1:13" ht="15" x14ac:dyDescent="0.35">
      <c r="A97" s="505"/>
      <c r="B97" s="506" t="s">
        <v>174</v>
      </c>
      <c r="C97" s="506"/>
      <c r="D97" s="506"/>
      <c r="E97" s="506"/>
      <c r="F97" s="915" t="s">
        <v>441</v>
      </c>
      <c r="G97" s="915"/>
      <c r="H97" s="560">
        <f>BUDGET!B56/2</f>
        <v>700</v>
      </c>
      <c r="I97" s="557"/>
      <c r="J97" s="914" t="s">
        <v>443</v>
      </c>
      <c r="K97" s="915"/>
      <c r="L97" s="560">
        <f>BUDGET!C56/2</f>
        <v>700</v>
      </c>
      <c r="M97" s="562"/>
    </row>
    <row r="98" spans="1:13" x14ac:dyDescent="0.2">
      <c r="A98" s="505"/>
      <c r="B98" s="506"/>
      <c r="C98" s="506"/>
      <c r="D98" s="506"/>
      <c r="E98" s="506"/>
      <c r="F98" s="506"/>
      <c r="G98" s="506"/>
      <c r="H98" s="558">
        <f>BUDGET!B56</f>
        <v>1400</v>
      </c>
      <c r="I98" s="563">
        <f>BUDGET!F56</f>
        <v>0</v>
      </c>
      <c r="J98" s="561"/>
      <c r="K98" s="506"/>
      <c r="L98" s="558">
        <f>BUDGET!C56</f>
        <v>1400</v>
      </c>
      <c r="M98" s="559">
        <f>BUDGET!G56</f>
        <v>0</v>
      </c>
    </row>
    <row r="99" spans="1:13" x14ac:dyDescent="0.2">
      <c r="A99" s="505"/>
      <c r="B99" s="564"/>
      <c r="C99" s="564"/>
      <c r="D99" s="564"/>
      <c r="E99" s="564"/>
      <c r="F99" s="564"/>
      <c r="G99" s="564"/>
      <c r="H99" s="564"/>
      <c r="I99" s="565"/>
      <c r="J99" s="566"/>
      <c r="K99" s="564"/>
      <c r="L99" s="564"/>
      <c r="M99" s="567"/>
    </row>
    <row r="100" spans="1:13" x14ac:dyDescent="0.2">
      <c r="A100" s="505"/>
      <c r="B100" s="553" t="s">
        <v>176</v>
      </c>
      <c r="C100" s="506"/>
      <c r="D100" s="506"/>
      <c r="E100" s="506"/>
      <c r="F100" s="915" t="s">
        <v>444</v>
      </c>
      <c r="G100" s="915"/>
      <c r="H100" s="558">
        <f>BUDGET!B55</f>
        <v>0</v>
      </c>
      <c r="I100" s="563">
        <f>BUDGET!F55</f>
        <v>0</v>
      </c>
      <c r="J100" s="915" t="s">
        <v>444</v>
      </c>
      <c r="K100" s="915"/>
      <c r="L100" s="558">
        <f>BUDGET!C55</f>
        <v>0</v>
      </c>
      <c r="M100" s="559">
        <f>BUDGET!G55</f>
        <v>0</v>
      </c>
    </row>
    <row r="101" spans="1:13" x14ac:dyDescent="0.2">
      <c r="A101" s="505"/>
      <c r="B101" s="506" t="s">
        <v>177</v>
      </c>
      <c r="C101" s="506"/>
      <c r="D101" s="506"/>
      <c r="E101" s="506"/>
      <c r="F101" s="506"/>
      <c r="G101" s="506"/>
      <c r="H101" s="506"/>
      <c r="I101" s="557"/>
      <c r="J101" s="512"/>
      <c r="K101" s="506"/>
      <c r="L101" s="506"/>
      <c r="M101" s="562"/>
    </row>
    <row r="102" spans="1:13" x14ac:dyDescent="0.2">
      <c r="A102" s="505"/>
      <c r="B102" s="506" t="s">
        <v>178</v>
      </c>
      <c r="C102" s="506"/>
      <c r="D102" s="506"/>
      <c r="E102" s="506"/>
      <c r="F102" s="506"/>
      <c r="G102" s="506"/>
      <c r="H102" s="506"/>
      <c r="I102" s="557"/>
      <c r="J102" s="512"/>
      <c r="K102" s="506"/>
      <c r="L102" s="506"/>
      <c r="M102" s="562"/>
    </row>
    <row r="103" spans="1:13" x14ac:dyDescent="0.2">
      <c r="A103" s="505"/>
      <c r="B103" s="506" t="s">
        <v>179</v>
      </c>
      <c r="C103" s="506"/>
      <c r="D103" s="506"/>
      <c r="E103" s="506"/>
      <c r="F103" s="506"/>
      <c r="G103" s="506"/>
      <c r="H103" s="506"/>
      <c r="I103" s="557"/>
      <c r="J103" s="512"/>
      <c r="K103" s="506"/>
      <c r="L103" s="506"/>
      <c r="M103" s="562"/>
    </row>
    <row r="104" spans="1:13" ht="13.5" thickBot="1" x14ac:dyDescent="0.25">
      <c r="A104" s="521"/>
      <c r="B104" s="522"/>
      <c r="C104" s="522"/>
      <c r="D104" s="522"/>
      <c r="E104" s="522"/>
      <c r="F104" s="522"/>
      <c r="G104" s="522"/>
      <c r="H104" s="522"/>
      <c r="I104" s="522"/>
      <c r="J104" s="522"/>
      <c r="K104" s="522"/>
      <c r="L104" s="522"/>
      <c r="M104" s="523"/>
    </row>
    <row r="105" spans="1:13" ht="13.5" thickBot="1" x14ac:dyDescent="0.25">
      <c r="A105" s="500"/>
      <c r="B105" s="500"/>
      <c r="C105" s="500"/>
      <c r="D105" s="500"/>
      <c r="E105" s="500"/>
      <c r="F105" s="500"/>
      <c r="G105" s="500"/>
      <c r="H105" s="500"/>
      <c r="I105" s="500"/>
      <c r="J105" s="500"/>
      <c r="K105" s="500"/>
      <c r="L105" s="500"/>
      <c r="M105" s="500"/>
    </row>
    <row r="106" spans="1:13" x14ac:dyDescent="0.2">
      <c r="A106" s="524"/>
      <c r="B106" s="525"/>
      <c r="C106" s="525"/>
      <c r="D106" s="525"/>
      <c r="E106" s="525"/>
      <c r="F106" s="525"/>
      <c r="G106" s="525"/>
      <c r="H106" s="525"/>
      <c r="I106" s="525"/>
      <c r="J106" s="568"/>
      <c r="K106" s="525"/>
      <c r="L106" s="525"/>
      <c r="M106" s="526"/>
    </row>
    <row r="107" spans="1:13" x14ac:dyDescent="0.2">
      <c r="A107" s="527"/>
      <c r="B107" s="528"/>
      <c r="C107" s="528"/>
      <c r="D107" s="528"/>
      <c r="E107" s="569"/>
      <c r="F107" s="569"/>
      <c r="G107" s="569"/>
      <c r="H107" s="569"/>
      <c r="I107" s="569"/>
      <c r="J107" s="569"/>
      <c r="K107" s="528"/>
      <c r="L107" s="528"/>
      <c r="M107" s="529"/>
    </row>
    <row r="108" spans="1:13" x14ac:dyDescent="0.2">
      <c r="A108" s="527"/>
      <c r="B108" s="528"/>
      <c r="C108" s="528"/>
      <c r="D108" s="528"/>
      <c r="E108" s="917"/>
      <c r="F108" s="917"/>
      <c r="G108" s="570"/>
      <c r="H108" s="570"/>
      <c r="I108" s="917"/>
      <c r="J108" s="917"/>
      <c r="K108" s="528"/>
      <c r="L108" s="528"/>
      <c r="M108" s="529"/>
    </row>
    <row r="109" spans="1:13" ht="14.25" customHeight="1" x14ac:dyDescent="0.3">
      <c r="A109" s="908"/>
      <c r="B109" s="909"/>
      <c r="C109" s="909"/>
      <c r="D109" s="909"/>
      <c r="E109" s="910"/>
      <c r="F109" s="911"/>
      <c r="G109" s="571"/>
      <c r="H109" s="572"/>
      <c r="I109" s="910"/>
      <c r="J109" s="911"/>
      <c r="K109" s="528"/>
      <c r="L109" s="528"/>
      <c r="M109" s="529"/>
    </row>
    <row r="110" spans="1:13" x14ac:dyDescent="0.2">
      <c r="A110" s="573"/>
      <c r="B110" s="574"/>
      <c r="C110" s="574"/>
      <c r="D110" s="574"/>
      <c r="E110" s="575"/>
      <c r="F110" s="576"/>
      <c r="G110" s="575"/>
      <c r="H110" s="576"/>
      <c r="I110" s="575"/>
      <c r="J110" s="576"/>
      <c r="K110" s="528"/>
      <c r="L110" s="528"/>
      <c r="M110" s="529"/>
    </row>
    <row r="111" spans="1:13" x14ac:dyDescent="0.2">
      <c r="A111" s="527"/>
      <c r="B111" s="528"/>
      <c r="C111" s="528"/>
      <c r="D111" s="528"/>
      <c r="E111" s="528"/>
      <c r="F111" s="528"/>
      <c r="G111" s="528"/>
      <c r="H111" s="528"/>
      <c r="I111" s="528"/>
      <c r="J111" s="528"/>
      <c r="K111" s="528"/>
      <c r="L111" s="528"/>
      <c r="M111" s="529"/>
    </row>
    <row r="112" spans="1:13" ht="15" customHeight="1" x14ac:dyDescent="0.3">
      <c r="A112" s="908"/>
      <c r="B112" s="909"/>
      <c r="C112" s="909"/>
      <c r="D112" s="909"/>
      <c r="E112" s="910"/>
      <c r="F112" s="911"/>
      <c r="G112" s="571"/>
      <c r="H112" s="572"/>
      <c r="I112" s="910"/>
      <c r="J112" s="911"/>
      <c r="K112" s="528"/>
      <c r="L112" s="528"/>
      <c r="M112" s="529"/>
    </row>
    <row r="113" spans="1:13" x14ac:dyDescent="0.2">
      <c r="A113" s="527"/>
      <c r="B113" s="528"/>
      <c r="C113" s="528"/>
      <c r="D113" s="528"/>
      <c r="E113" s="528"/>
      <c r="F113" s="528"/>
      <c r="G113" s="528"/>
      <c r="H113" s="528"/>
      <c r="I113" s="528"/>
      <c r="J113" s="528"/>
      <c r="K113" s="528"/>
      <c r="L113" s="528"/>
      <c r="M113" s="529"/>
    </row>
    <row r="114" spans="1:13" x14ac:dyDescent="0.2">
      <c r="A114" s="527"/>
      <c r="B114" s="528"/>
      <c r="C114" s="528"/>
      <c r="D114" s="528"/>
      <c r="E114" s="528"/>
      <c r="F114" s="528"/>
      <c r="G114" s="528"/>
      <c r="H114" s="528"/>
      <c r="I114" s="528"/>
      <c r="J114" s="528"/>
      <c r="K114" s="528"/>
      <c r="L114" s="528"/>
      <c r="M114" s="529"/>
    </row>
    <row r="115" spans="1:13" x14ac:dyDescent="0.2">
      <c r="A115" s="539"/>
      <c r="B115" s="542"/>
      <c r="C115" s="542"/>
      <c r="D115" s="542"/>
      <c r="E115" s="542"/>
      <c r="F115" s="542"/>
      <c r="G115" s="542"/>
      <c r="H115" s="542"/>
      <c r="I115" s="542"/>
      <c r="J115" s="542"/>
      <c r="K115" s="542"/>
      <c r="L115" s="542"/>
      <c r="M115" s="543"/>
    </row>
    <row r="116" spans="1:13" x14ac:dyDescent="0.2">
      <c r="A116" s="539"/>
      <c r="B116" s="542"/>
      <c r="C116" s="542"/>
      <c r="D116" s="542"/>
      <c r="E116" s="542"/>
      <c r="F116" s="542"/>
      <c r="G116" s="542"/>
      <c r="H116" s="542"/>
      <c r="I116" s="542"/>
      <c r="J116" s="542"/>
      <c r="K116" s="542"/>
      <c r="L116" s="542"/>
      <c r="M116" s="543"/>
    </row>
    <row r="117" spans="1:13" x14ac:dyDescent="0.2">
      <c r="A117" s="539"/>
      <c r="B117" s="542"/>
      <c r="C117" s="542"/>
      <c r="D117" s="542"/>
      <c r="E117" s="542"/>
      <c r="F117" s="542"/>
      <c r="G117" s="542"/>
      <c r="H117" s="542"/>
      <c r="I117" s="542"/>
      <c r="J117" s="542"/>
      <c r="K117" s="542"/>
      <c r="L117" s="542"/>
      <c r="M117" s="543"/>
    </row>
    <row r="118" spans="1:13" x14ac:dyDescent="0.2">
      <c r="A118" s="539"/>
      <c r="B118" s="542"/>
      <c r="C118" s="542"/>
      <c r="D118" s="542"/>
      <c r="E118" s="542"/>
      <c r="F118" s="542"/>
      <c r="G118" s="542"/>
      <c r="H118" s="542"/>
      <c r="I118" s="542"/>
      <c r="J118" s="542"/>
      <c r="K118" s="542"/>
      <c r="L118" s="542"/>
      <c r="M118" s="543"/>
    </row>
    <row r="119" spans="1:13" x14ac:dyDescent="0.2">
      <c r="A119" s="539"/>
      <c r="B119" s="542"/>
      <c r="C119" s="542"/>
      <c r="D119" s="542"/>
      <c r="E119" s="542"/>
      <c r="F119" s="542"/>
      <c r="G119" s="542"/>
      <c r="H119" s="542"/>
      <c r="I119" s="542"/>
      <c r="J119" s="542"/>
      <c r="K119" s="542"/>
      <c r="L119" s="542"/>
      <c r="M119" s="543"/>
    </row>
    <row r="120" spans="1:13" x14ac:dyDescent="0.2">
      <c r="A120" s="539"/>
      <c r="B120" s="542"/>
      <c r="C120" s="542"/>
      <c r="D120" s="542"/>
      <c r="E120" s="542"/>
      <c r="F120" s="542"/>
      <c r="G120" s="542"/>
      <c r="H120" s="542"/>
      <c r="I120" s="542"/>
      <c r="J120" s="542"/>
      <c r="K120" s="542"/>
      <c r="L120" s="542"/>
      <c r="M120" s="543"/>
    </row>
    <row r="121" spans="1:13" x14ac:dyDescent="0.2">
      <c r="A121" s="539"/>
      <c r="B121" s="542"/>
      <c r="C121" s="542"/>
      <c r="D121" s="542"/>
      <c r="E121" s="542"/>
      <c r="F121" s="542"/>
      <c r="G121" s="542"/>
      <c r="H121" s="542"/>
      <c r="I121" s="542"/>
      <c r="J121" s="542"/>
      <c r="K121" s="542"/>
      <c r="L121" s="542"/>
      <c r="M121" s="543"/>
    </row>
    <row r="122" spans="1:13" x14ac:dyDescent="0.2">
      <c r="A122" s="539"/>
      <c r="B122" s="542"/>
      <c r="C122" s="542"/>
      <c r="D122" s="542"/>
      <c r="E122" s="542"/>
      <c r="F122" s="542"/>
      <c r="G122" s="542"/>
      <c r="H122" s="542"/>
      <c r="I122" s="542"/>
      <c r="J122" s="542"/>
      <c r="K122" s="542"/>
      <c r="L122" s="542"/>
      <c r="M122" s="543"/>
    </row>
    <row r="123" spans="1:13" ht="13.5" thickBot="1" x14ac:dyDescent="0.25">
      <c r="A123" s="550"/>
      <c r="B123" s="551"/>
      <c r="C123" s="551"/>
      <c r="D123" s="551"/>
      <c r="E123" s="551"/>
      <c r="F123" s="551"/>
      <c r="G123" s="551"/>
      <c r="H123" s="551"/>
      <c r="I123" s="551"/>
      <c r="J123" s="551"/>
      <c r="K123" s="551"/>
      <c r="L123" s="551"/>
      <c r="M123" s="552"/>
    </row>
    <row r="124" spans="1:13" ht="13.5" thickBot="1" x14ac:dyDescent="0.25">
      <c r="A124" s="500"/>
      <c r="B124" s="500"/>
      <c r="C124" s="500"/>
      <c r="D124" s="500"/>
      <c r="E124" s="500"/>
      <c r="F124" s="500"/>
      <c r="G124" s="500"/>
      <c r="H124" s="500"/>
      <c r="I124" s="500"/>
      <c r="J124" s="500"/>
      <c r="K124" s="500"/>
      <c r="L124" s="500"/>
      <c r="M124" s="500"/>
    </row>
    <row r="125" spans="1:13" x14ac:dyDescent="0.2">
      <c r="A125" s="577"/>
      <c r="B125" s="578"/>
      <c r="C125" s="578"/>
      <c r="D125" s="578"/>
      <c r="E125" s="578"/>
      <c r="F125" s="578"/>
      <c r="G125" s="578"/>
      <c r="H125" s="578"/>
      <c r="I125" s="578"/>
      <c r="J125" s="578"/>
      <c r="K125" s="578"/>
      <c r="L125" s="578"/>
      <c r="M125" s="579"/>
    </row>
    <row r="126" spans="1:13" ht="18.75" x14ac:dyDescent="0.3">
      <c r="A126" s="580"/>
      <c r="B126" s="581"/>
      <c r="C126" s="581"/>
      <c r="D126" s="581"/>
      <c r="E126" s="581"/>
      <c r="F126" s="581"/>
      <c r="G126" s="581"/>
      <c r="H126" s="900" t="s">
        <v>9</v>
      </c>
      <c r="I126" s="900"/>
      <c r="J126" s="901" t="s">
        <v>10</v>
      </c>
      <c r="K126" s="901"/>
      <c r="L126" s="900" t="s">
        <v>36</v>
      </c>
      <c r="M126" s="902"/>
    </row>
    <row r="127" spans="1:13" ht="18.75" x14ac:dyDescent="0.3">
      <c r="A127" s="582" t="s">
        <v>445</v>
      </c>
      <c r="B127" s="583"/>
      <c r="C127" s="583"/>
      <c r="D127" s="583"/>
      <c r="E127" s="583"/>
      <c r="F127" s="583"/>
      <c r="G127" s="584"/>
      <c r="H127" s="903">
        <f>IF(ISERROR(BUDGET!B109),0,(BUDGET!B109))</f>
        <v>-1400</v>
      </c>
      <c r="I127" s="904"/>
      <c r="J127" s="905">
        <f>IF(ISERROR(BUDGET!C109),0,(BUDGET!C109))</f>
        <v>-1400</v>
      </c>
      <c r="K127" s="906"/>
      <c r="L127" s="904">
        <f>IF(ISERROR(BUDGET!D109),0,(BUDGET!D109))</f>
        <v>-2800</v>
      </c>
      <c r="M127" s="907"/>
    </row>
    <row r="128" spans="1:13" ht="18.75" x14ac:dyDescent="0.3">
      <c r="A128" s="585" t="s">
        <v>446</v>
      </c>
      <c r="B128" s="586"/>
      <c r="C128" s="586"/>
      <c r="D128" s="586"/>
      <c r="E128" s="586"/>
      <c r="F128" s="586"/>
      <c r="G128" s="587"/>
      <c r="H128" s="890">
        <f>BUDGET!F109</f>
        <v>0</v>
      </c>
      <c r="I128" s="891"/>
      <c r="J128" s="892">
        <f>BUDGET!G109</f>
        <v>0</v>
      </c>
      <c r="K128" s="893"/>
      <c r="L128" s="891">
        <f>BUDGET!H109</f>
        <v>0</v>
      </c>
      <c r="M128" s="894"/>
    </row>
    <row r="129" spans="1:13" ht="18.75" x14ac:dyDescent="0.3">
      <c r="A129" s="588"/>
      <c r="B129" s="581"/>
      <c r="C129" s="581"/>
      <c r="D129" s="581"/>
      <c r="E129" s="581"/>
      <c r="F129" s="581"/>
      <c r="G129" s="581"/>
      <c r="H129" s="589"/>
      <c r="I129" s="581"/>
      <c r="J129" s="590"/>
      <c r="K129" s="591"/>
      <c r="L129" s="589"/>
      <c r="M129" s="592"/>
    </row>
    <row r="130" spans="1:13" ht="18.75" x14ac:dyDescent="0.3">
      <c r="A130" s="593" t="s">
        <v>447</v>
      </c>
      <c r="B130" s="594"/>
      <c r="C130" s="594"/>
      <c r="D130" s="594"/>
      <c r="E130" s="594"/>
      <c r="F130" s="594"/>
      <c r="G130" s="595"/>
      <c r="H130" s="895">
        <f>BUDGET!B145</f>
        <v>0</v>
      </c>
      <c r="I130" s="896"/>
      <c r="J130" s="897">
        <f>BUDGET!C145</f>
        <v>0</v>
      </c>
      <c r="K130" s="898"/>
      <c r="L130" s="896">
        <f>BUDGET!D145</f>
        <v>0</v>
      </c>
      <c r="M130" s="899"/>
    </row>
    <row r="131" spans="1:13" ht="18.75" x14ac:dyDescent="0.3">
      <c r="A131" s="596" t="s">
        <v>448</v>
      </c>
      <c r="B131" s="597"/>
      <c r="C131" s="597"/>
      <c r="D131" s="597"/>
      <c r="E131" s="597"/>
      <c r="F131" s="597"/>
      <c r="G131" s="598"/>
      <c r="H131" s="879">
        <f>BUDGET!F145</f>
        <v>0</v>
      </c>
      <c r="I131" s="875"/>
      <c r="J131" s="877">
        <f>BUDGET!G145</f>
        <v>0</v>
      </c>
      <c r="K131" s="878"/>
      <c r="L131" s="875">
        <f>BUDGET!H145</f>
        <v>0</v>
      </c>
      <c r="M131" s="876"/>
    </row>
    <row r="132" spans="1:13" ht="18.75" x14ac:dyDescent="0.3">
      <c r="A132" s="588"/>
      <c r="B132" s="581"/>
      <c r="C132" s="581"/>
      <c r="D132" s="581"/>
      <c r="E132" s="581"/>
      <c r="F132" s="581"/>
      <c r="G132" s="581"/>
      <c r="H132" s="589"/>
      <c r="I132" s="581"/>
      <c r="J132" s="590"/>
      <c r="K132" s="591"/>
      <c r="L132" s="589"/>
      <c r="M132" s="592"/>
    </row>
    <row r="133" spans="1:13" ht="18.75" x14ac:dyDescent="0.3">
      <c r="A133" s="599" t="s">
        <v>449</v>
      </c>
      <c r="B133" s="600"/>
      <c r="C133" s="600"/>
      <c r="D133" s="600"/>
      <c r="E133" s="600"/>
      <c r="F133" s="600"/>
      <c r="G133" s="601"/>
      <c r="H133" s="880">
        <f>BUDGET!B165</f>
        <v>0</v>
      </c>
      <c r="I133" s="881"/>
      <c r="J133" s="886">
        <f>BUDGET!C165</f>
        <v>0</v>
      </c>
      <c r="K133" s="887"/>
      <c r="L133" s="881">
        <f>BUDGET!D165</f>
        <v>0</v>
      </c>
      <c r="M133" s="888"/>
    </row>
    <row r="134" spans="1:13" ht="18.75" x14ac:dyDescent="0.3">
      <c r="A134" s="602" t="s">
        <v>450</v>
      </c>
      <c r="B134" s="603"/>
      <c r="C134" s="603"/>
      <c r="D134" s="603"/>
      <c r="E134" s="603"/>
      <c r="F134" s="603"/>
      <c r="G134" s="604"/>
      <c r="H134" s="882">
        <f>BUDGET!F165</f>
        <v>0</v>
      </c>
      <c r="I134" s="883"/>
      <c r="J134" s="884">
        <f>BUDGET!G165</f>
        <v>0</v>
      </c>
      <c r="K134" s="885"/>
      <c r="L134" s="883">
        <f>BUDGET!H165</f>
        <v>0</v>
      </c>
      <c r="M134" s="889"/>
    </row>
    <row r="135" spans="1:13" ht="18.75" x14ac:dyDescent="0.3">
      <c r="A135" s="588"/>
      <c r="B135" s="581"/>
      <c r="C135" s="581"/>
      <c r="D135" s="581"/>
      <c r="E135" s="581"/>
      <c r="F135" s="581"/>
      <c r="G135" s="581"/>
      <c r="H135" s="589"/>
      <c r="I135" s="581"/>
      <c r="J135" s="590"/>
      <c r="K135" s="591"/>
      <c r="L135" s="589"/>
      <c r="M135" s="592"/>
    </row>
    <row r="136" spans="1:13" ht="18.75" x14ac:dyDescent="0.3">
      <c r="A136" s="605" t="s">
        <v>451</v>
      </c>
      <c r="B136" s="606"/>
      <c r="C136" s="606"/>
      <c r="D136" s="606"/>
      <c r="E136" s="606"/>
      <c r="F136" s="606"/>
      <c r="G136" s="606"/>
      <c r="H136" s="867">
        <f>IF(ISERROR(BUDGET!B170),0,(BUDGET!B170))</f>
        <v>-1400</v>
      </c>
      <c r="I136" s="867"/>
      <c r="J136" s="871">
        <f>IF(ISERROR(BUDGET!C170),0,(BUDGET!C170))</f>
        <v>-1400</v>
      </c>
      <c r="K136" s="872"/>
      <c r="L136" s="867">
        <f>IF(ISERROR(BUDGET!D170),0,(BUDGET!D170))</f>
        <v>-2800</v>
      </c>
      <c r="M136" s="868"/>
    </row>
    <row r="137" spans="1:13" ht="18.75" x14ac:dyDescent="0.3">
      <c r="A137" s="607" t="s">
        <v>452</v>
      </c>
      <c r="B137" s="608"/>
      <c r="C137" s="608"/>
      <c r="D137" s="608"/>
      <c r="E137" s="608"/>
      <c r="F137" s="608"/>
      <c r="G137" s="608"/>
      <c r="H137" s="869">
        <f>BUDGET!F170</f>
        <v>0</v>
      </c>
      <c r="I137" s="869"/>
      <c r="J137" s="873">
        <f>BUDGET!G170</f>
        <v>0</v>
      </c>
      <c r="K137" s="874"/>
      <c r="L137" s="869">
        <f>BUDGET!H170</f>
        <v>0</v>
      </c>
      <c r="M137" s="870"/>
    </row>
    <row r="138" spans="1:13" ht="13.5" thickBot="1" x14ac:dyDescent="0.25">
      <c r="A138" s="496"/>
      <c r="B138" s="497"/>
      <c r="C138" s="497"/>
      <c r="D138" s="497"/>
      <c r="E138" s="497"/>
      <c r="F138" s="497"/>
      <c r="G138" s="497"/>
      <c r="H138" s="497"/>
      <c r="I138" s="497"/>
      <c r="J138" s="497"/>
      <c r="K138" s="497"/>
      <c r="L138" s="497"/>
      <c r="M138" s="499"/>
    </row>
  </sheetData>
  <sheetProtection algorithmName="SHA-512" hashValue="oJdDi2/bhsRg98w95qhyZechaNcmV1BPYjB3OqGSA5kjAV1tnaoF99A0yrAt5P52mi2jyACCiGcRwDPYpGMHKg==" saltValue="ZfnGO/RNwPWZvRHXsNATYg==" spinCount="100000" sheet="1" objects="1" scenarios="1" formatColumns="0"/>
  <mergeCells count="53">
    <mergeCell ref="I108:J108"/>
    <mergeCell ref="J89:M89"/>
    <mergeCell ref="F90:G90"/>
    <mergeCell ref="F91:G91"/>
    <mergeCell ref="A1:M2"/>
    <mergeCell ref="J90:K90"/>
    <mergeCell ref="J91:K91"/>
    <mergeCell ref="F100:G100"/>
    <mergeCell ref="F89:I89"/>
    <mergeCell ref="J92:K92"/>
    <mergeCell ref="A112:D112"/>
    <mergeCell ref="E112:F112"/>
    <mergeCell ref="I112:J112"/>
    <mergeCell ref="H31:I32"/>
    <mergeCell ref="H34:I35"/>
    <mergeCell ref="J96:K96"/>
    <mergeCell ref="J97:K97"/>
    <mergeCell ref="J100:K100"/>
    <mergeCell ref="A89:E89"/>
    <mergeCell ref="A109:D109"/>
    <mergeCell ref="E109:F109"/>
    <mergeCell ref="F92:G92"/>
    <mergeCell ref="F96:G96"/>
    <mergeCell ref="F97:G97"/>
    <mergeCell ref="I109:J109"/>
    <mergeCell ref="E108:F108"/>
    <mergeCell ref="H126:I126"/>
    <mergeCell ref="J126:K126"/>
    <mergeCell ref="L126:M126"/>
    <mergeCell ref="H127:I127"/>
    <mergeCell ref="J127:K127"/>
    <mergeCell ref="L127:M127"/>
    <mergeCell ref="H128:I128"/>
    <mergeCell ref="J128:K128"/>
    <mergeCell ref="L128:M128"/>
    <mergeCell ref="H130:I130"/>
    <mergeCell ref="J130:K130"/>
    <mergeCell ref="L130:M130"/>
    <mergeCell ref="L131:M131"/>
    <mergeCell ref="J131:K131"/>
    <mergeCell ref="H131:I131"/>
    <mergeCell ref="H133:I133"/>
    <mergeCell ref="H134:I134"/>
    <mergeCell ref="J134:K134"/>
    <mergeCell ref="J133:K133"/>
    <mergeCell ref="L133:M133"/>
    <mergeCell ref="L134:M134"/>
    <mergeCell ref="L136:M136"/>
    <mergeCell ref="L137:M137"/>
    <mergeCell ref="J136:K136"/>
    <mergeCell ref="J137:K137"/>
    <mergeCell ref="H136:I136"/>
    <mergeCell ref="H137:I137"/>
  </mergeCells>
  <printOptions horizontalCentered="1"/>
  <pageMargins left="0.45" right="0.45" top="0.5" bottom="0.5" header="0.05" footer="0.05"/>
  <pageSetup scale="88" orientation="landscape" r:id="rId1"/>
  <rowBreaks count="3" manualBreakCount="3">
    <brk id="42" max="16383" man="1"/>
    <brk id="67" max="16383" man="1"/>
    <brk id="10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10"/>
  <sheetViews>
    <sheetView showGridLines="0" zoomScaleNormal="100" workbookViewId="0">
      <pane xSplit="4" ySplit="10" topLeftCell="E11" activePane="bottomRight" state="frozen"/>
      <selection pane="topRight" activeCell="E1" sqref="E1"/>
      <selection pane="bottomLeft" activeCell="A3" sqref="A3"/>
      <selection pane="bottomRight" activeCell="B11" sqref="B11:C11"/>
    </sheetView>
  </sheetViews>
  <sheetFormatPr defaultColWidth="9.140625" defaultRowHeight="12.75" x14ac:dyDescent="0.2"/>
  <cols>
    <col min="1" max="1" width="3.5703125" style="8" bestFit="1" customWidth="1"/>
    <col min="2" max="2" width="12.5703125" style="50" bestFit="1" customWidth="1"/>
    <col min="3" max="3" width="9.28515625" style="50" bestFit="1" customWidth="1"/>
    <col min="4" max="4" width="10.7109375" style="7" bestFit="1" customWidth="1"/>
    <col min="5" max="5" width="12.7109375" style="7" customWidth="1"/>
    <col min="6" max="6" width="13" style="7" customWidth="1"/>
    <col min="7" max="7" width="12.5703125" style="51" customWidth="1"/>
    <col min="8" max="8" width="15.28515625" style="51" customWidth="1"/>
    <col min="9" max="9" width="10" style="51" bestFit="1" customWidth="1"/>
    <col min="10" max="10" width="11.42578125" style="51" bestFit="1" customWidth="1"/>
    <col min="11" max="11" width="9.7109375" style="51" bestFit="1" customWidth="1"/>
    <col min="12" max="12" width="10" style="51" bestFit="1" customWidth="1"/>
    <col min="13" max="13" width="1.28515625" style="9" customWidth="1"/>
    <col min="14" max="14" width="12.85546875" style="7" customWidth="1"/>
    <col min="15" max="15" width="13" style="7" customWidth="1"/>
    <col min="16" max="16" width="12.140625" style="14" customWidth="1"/>
    <col min="17" max="17" width="15.28515625" style="14" customWidth="1"/>
    <col min="18" max="18" width="10" style="14" bestFit="1" customWidth="1"/>
    <col min="19" max="19" width="11.42578125" style="51" bestFit="1" customWidth="1"/>
    <col min="20" max="20" width="9.7109375" style="51" bestFit="1" customWidth="1"/>
    <col min="21" max="21" width="10" style="51" bestFit="1" customWidth="1"/>
    <col min="22" max="29" width="9.140625" style="8"/>
    <col min="30" max="30" width="3" style="8" hidden="1" customWidth="1"/>
    <col min="31" max="31" width="8.7109375" style="8" hidden="1" customWidth="1"/>
    <col min="32" max="32" width="12.42578125" style="8" hidden="1" customWidth="1"/>
    <col min="33" max="33" width="14.28515625" style="8" hidden="1" customWidth="1"/>
    <col min="34" max="16384" width="9.140625" style="8"/>
  </cols>
  <sheetData>
    <row r="1" spans="1:33" ht="12.75" customHeight="1" x14ac:dyDescent="0.2">
      <c r="B1" s="930" t="s">
        <v>35</v>
      </c>
      <c r="C1" s="930"/>
      <c r="D1" s="930"/>
      <c r="E1" s="931" t="s">
        <v>133</v>
      </c>
      <c r="F1" s="931"/>
      <c r="G1" s="931"/>
      <c r="H1" s="931"/>
      <c r="I1" s="931"/>
      <c r="J1" s="931"/>
      <c r="K1" s="931"/>
      <c r="L1" s="931"/>
      <c r="N1" s="931" t="s">
        <v>134</v>
      </c>
      <c r="O1" s="931"/>
      <c r="P1" s="931"/>
      <c r="Q1" s="931"/>
      <c r="R1" s="931"/>
      <c r="S1" s="931"/>
      <c r="T1" s="931"/>
      <c r="U1" s="931"/>
      <c r="AD1" s="8" t="s">
        <v>6</v>
      </c>
      <c r="AE1" s="8" t="s">
        <v>1</v>
      </c>
      <c r="AF1" s="8" t="s">
        <v>1</v>
      </c>
      <c r="AG1" s="8" t="s">
        <v>137</v>
      </c>
    </row>
    <row r="2" spans="1:33" ht="12.75" customHeight="1" x14ac:dyDescent="0.2">
      <c r="B2" s="930"/>
      <c r="C2" s="930"/>
      <c r="D2" s="930"/>
      <c r="E2" s="932"/>
      <c r="F2" s="932"/>
      <c r="G2" s="932"/>
      <c r="H2" s="932"/>
      <c r="I2" s="932"/>
      <c r="J2" s="932"/>
      <c r="K2" s="932"/>
      <c r="L2" s="932"/>
      <c r="N2" s="932"/>
      <c r="O2" s="932"/>
      <c r="P2" s="932"/>
      <c r="Q2" s="932"/>
      <c r="R2" s="932"/>
      <c r="S2" s="932"/>
      <c r="T2" s="932"/>
      <c r="U2" s="932"/>
      <c r="AD2" s="8" t="s">
        <v>94</v>
      </c>
      <c r="AE2" s="8" t="s">
        <v>2</v>
      </c>
      <c r="AF2" s="8" t="s">
        <v>2</v>
      </c>
      <c r="AG2" s="8" t="s">
        <v>26</v>
      </c>
    </row>
    <row r="3" spans="1:33" x14ac:dyDescent="0.2">
      <c r="B3" s="936" t="s">
        <v>4</v>
      </c>
      <c r="C3" s="936"/>
      <c r="D3" s="391">
        <f>COUNTIF(D11:D310,"fr")</f>
        <v>0</v>
      </c>
      <c r="E3" s="10" t="s">
        <v>49</v>
      </c>
      <c r="F3" s="8"/>
      <c r="G3" s="11"/>
      <c r="H3" s="8"/>
      <c r="I3" s="8"/>
      <c r="J3" s="8"/>
      <c r="K3" s="8"/>
      <c r="L3" s="8"/>
      <c r="N3" s="10" t="s">
        <v>49</v>
      </c>
      <c r="O3" s="12"/>
      <c r="P3" s="13">
        <f>F7</f>
        <v>0</v>
      </c>
      <c r="S3" s="8"/>
      <c r="T3" s="8"/>
      <c r="U3" s="8"/>
      <c r="AD3" s="8" t="s">
        <v>8</v>
      </c>
      <c r="AE3" s="8" t="s">
        <v>645</v>
      </c>
      <c r="AF3" s="8" t="s">
        <v>27</v>
      </c>
      <c r="AG3" s="8" t="s">
        <v>25</v>
      </c>
    </row>
    <row r="4" spans="1:33" x14ac:dyDescent="0.2">
      <c r="B4" s="936" t="s">
        <v>31</v>
      </c>
      <c r="C4" s="936"/>
      <c r="D4" s="391">
        <f>COUNTIF(D11:D310,"so")</f>
        <v>0</v>
      </c>
      <c r="E4" s="8"/>
      <c r="F4" s="15" t="s">
        <v>34</v>
      </c>
      <c r="G4" s="16" t="s">
        <v>29</v>
      </c>
      <c r="H4" s="17" t="s">
        <v>30</v>
      </c>
      <c r="I4" s="16" t="s">
        <v>152</v>
      </c>
      <c r="J4" s="17"/>
      <c r="K4" s="16" t="s">
        <v>153</v>
      </c>
      <c r="L4" s="18" t="s">
        <v>151</v>
      </c>
      <c r="O4" s="15" t="s">
        <v>34</v>
      </c>
      <c r="P4" s="16" t="s">
        <v>29</v>
      </c>
      <c r="Q4" s="17" t="s">
        <v>30</v>
      </c>
      <c r="R4" s="16" t="s">
        <v>152</v>
      </c>
      <c r="S4" s="17"/>
      <c r="T4" s="16" t="s">
        <v>153</v>
      </c>
      <c r="U4" s="18" t="s">
        <v>151</v>
      </c>
      <c r="AD4" s="8" t="s">
        <v>7</v>
      </c>
      <c r="AE4" s="8" t="s">
        <v>646</v>
      </c>
      <c r="AF4" s="8" t="s">
        <v>645</v>
      </c>
      <c r="AG4" s="8" t="s">
        <v>138</v>
      </c>
    </row>
    <row r="5" spans="1:33" x14ac:dyDescent="0.2">
      <c r="B5" s="936" t="s">
        <v>32</v>
      </c>
      <c r="C5" s="936"/>
      <c r="D5" s="391">
        <f>COUNTIF(D11:D310,"jr")</f>
        <v>0</v>
      </c>
      <c r="E5" s="12" t="s">
        <v>0</v>
      </c>
      <c r="F5" s="7">
        <f>COUNTIF(E11:E310,"candidate")</f>
        <v>0</v>
      </c>
      <c r="G5" s="19">
        <f>COUNTIFS(E11:E310,"candidate",G11:G310,"&gt;0")-H5</f>
        <v>0</v>
      </c>
      <c r="H5" s="19">
        <f>COUNTIFS(E11:E310,"candidate",H11:H310,"&gt;0")</f>
        <v>0</v>
      </c>
      <c r="I5" s="19">
        <f>COUNTIFS(E11:E310,"candidate",I11:I310,"&gt;0")</f>
        <v>0</v>
      </c>
      <c r="J5" s="19"/>
      <c r="K5" s="19">
        <f>COUNTIFS(E11:E310,"candidate",K11:K310,"&gt;0")</f>
        <v>0</v>
      </c>
      <c r="L5" s="19">
        <f>COUNTIFS(E11:E310,"candidate",L11:L310,"&gt;0")</f>
        <v>0</v>
      </c>
      <c r="N5" s="12" t="s">
        <v>0</v>
      </c>
      <c r="O5" s="7">
        <f>COUNTIF(N11:N310,"candidate")</f>
        <v>0</v>
      </c>
      <c r="P5" s="19">
        <f>COUNTIFS(N11:N310,"candidate",P11:P310,"&gt;0")-Q5</f>
        <v>0</v>
      </c>
      <c r="Q5" s="19">
        <f>COUNTIFS(N11:N310,"candidate",Q11:Q310,"&gt;0")</f>
        <v>0</v>
      </c>
      <c r="R5" s="19">
        <f>COUNTIFS(N11:N310,"candidate",R11:R310,"&gt;0")</f>
        <v>0</v>
      </c>
      <c r="S5" s="19"/>
      <c r="T5" s="19">
        <f>COUNTIFS(N11:N310,"candidate",T11:T310,"&gt;0")</f>
        <v>0</v>
      </c>
      <c r="U5" s="19">
        <f>COUNTIFS(N11:N310,"candidate",U11:U310,"&gt;0")</f>
        <v>0</v>
      </c>
      <c r="AF5" s="8" t="s">
        <v>646</v>
      </c>
      <c r="AG5" s="8" t="s">
        <v>139</v>
      </c>
    </row>
    <row r="6" spans="1:33" ht="15" x14ac:dyDescent="0.35">
      <c r="B6" s="936" t="s">
        <v>33</v>
      </c>
      <c r="C6" s="936"/>
      <c r="D6" s="392">
        <f>COUNTIF(D11:D310,"sr")</f>
        <v>0</v>
      </c>
      <c r="E6" s="12" t="s">
        <v>3</v>
      </c>
      <c r="F6" s="20">
        <f>COUNTIF(E11:E310,"initiate")</f>
        <v>0</v>
      </c>
      <c r="G6" s="21">
        <f>COUNTIFS(E11:E310,"initiate",G11:G310,"&gt;0")-H6</f>
        <v>0</v>
      </c>
      <c r="H6" s="21">
        <f>COUNTIFS(E11:E310,"initiate",H11:H310,"&gt;0")</f>
        <v>0</v>
      </c>
      <c r="I6" s="21">
        <f>COUNTIFS(E11:E310,"initiate",I11:I310,"&gt;0")</f>
        <v>0</v>
      </c>
      <c r="J6" s="21"/>
      <c r="K6" s="21">
        <f>COUNTIFS(E11:E310,"initiate",K11:K310,"&gt;0")</f>
        <v>0</v>
      </c>
      <c r="L6" s="21">
        <f>COUNTIFS(E11:E310,"initiate",L11:L310,"&gt;0")</f>
        <v>0</v>
      </c>
      <c r="N6" s="12" t="s">
        <v>3</v>
      </c>
      <c r="O6" s="20">
        <f>COUNTIF(N11:N310,"initiate")</f>
        <v>0</v>
      </c>
      <c r="P6" s="21">
        <f>COUNTIFS(N11:N310,"initiate",P11:P310,"&gt;0")-Q6</f>
        <v>0</v>
      </c>
      <c r="Q6" s="21">
        <f>COUNTIFS(N11:N310,"initiate",Q11:Q310,"&gt;0")</f>
        <v>0</v>
      </c>
      <c r="R6" s="21">
        <f>COUNTIFS(N11:N310,"initiate",R11:R310,"&gt;0")</f>
        <v>0</v>
      </c>
      <c r="S6" s="21"/>
      <c r="T6" s="21">
        <f>COUNTIFS(N11:N310,"initiate",T11:T310,"&gt;0")</f>
        <v>0</v>
      </c>
      <c r="U6" s="21">
        <f>COUNTIFS(N11:N310,"initiate",U11:U310,"&gt;0")</f>
        <v>0</v>
      </c>
      <c r="AG6" s="8" t="s">
        <v>140</v>
      </c>
    </row>
    <row r="7" spans="1:33" x14ac:dyDescent="0.2">
      <c r="B7" s="937" t="s">
        <v>28</v>
      </c>
      <c r="C7" s="937"/>
      <c r="D7" s="393">
        <f>SUM(D3:D6)</f>
        <v>0</v>
      </c>
      <c r="E7" s="12" t="s">
        <v>28</v>
      </c>
      <c r="F7" s="12">
        <f>SUM(F5:F6)</f>
        <v>0</v>
      </c>
      <c r="G7" s="19">
        <f>SUM(G5:G6)</f>
        <v>0</v>
      </c>
      <c r="H7" s="19">
        <f>SUM(H5:H6)</f>
        <v>0</v>
      </c>
      <c r="I7" s="19">
        <f>SUM(I5:I6)</f>
        <v>0</v>
      </c>
      <c r="J7" s="19"/>
      <c r="K7" s="19">
        <f>SUM(K5:K6)</f>
        <v>0</v>
      </c>
      <c r="L7" s="19">
        <f>SUM(L5:L6)</f>
        <v>0</v>
      </c>
      <c r="N7" s="12" t="s">
        <v>28</v>
      </c>
      <c r="O7" s="12">
        <f>SUM(O5:O6)</f>
        <v>0</v>
      </c>
      <c r="P7" s="19">
        <f>SUM(P5:P6)</f>
        <v>0</v>
      </c>
      <c r="Q7" s="19">
        <f>SUM(Q5:Q6)</f>
        <v>0</v>
      </c>
      <c r="R7" s="19">
        <f>SUM(R5:R6)</f>
        <v>0</v>
      </c>
      <c r="S7" s="19"/>
      <c r="T7" s="19">
        <f>SUM(T5:T6)</f>
        <v>0</v>
      </c>
      <c r="U7" s="19">
        <f>SUM(U5:U6)</f>
        <v>0</v>
      </c>
      <c r="AG7" s="8" t="s">
        <v>144</v>
      </c>
    </row>
    <row r="8" spans="1:33" s="28" customFormat="1" ht="6" customHeight="1" x14ac:dyDescent="0.2">
      <c r="A8" s="23"/>
      <c r="B8" s="394"/>
      <c r="C8" s="394"/>
      <c r="D8" s="394"/>
      <c r="E8" s="24"/>
      <c r="F8" s="24"/>
      <c r="G8" s="24"/>
      <c r="H8" s="24"/>
      <c r="I8" s="24"/>
      <c r="J8" s="24"/>
      <c r="K8" s="24"/>
      <c r="L8" s="24"/>
      <c r="M8" s="25"/>
      <c r="N8" s="26"/>
      <c r="O8" s="26"/>
      <c r="P8" s="27"/>
      <c r="Q8" s="27"/>
      <c r="R8" s="27"/>
      <c r="S8" s="24"/>
      <c r="T8" s="24"/>
      <c r="U8" s="24"/>
      <c r="AG8" s="28" t="s">
        <v>57</v>
      </c>
    </row>
    <row r="9" spans="1:33" s="30" customFormat="1" ht="25.5" x14ac:dyDescent="0.2">
      <c r="A9" s="12"/>
      <c r="B9" s="29"/>
      <c r="C9" s="29"/>
      <c r="E9" s="31" t="s">
        <v>136</v>
      </c>
      <c r="F9" s="32" t="s">
        <v>135</v>
      </c>
      <c r="G9" s="351" t="s">
        <v>297</v>
      </c>
      <c r="H9" s="353" t="s">
        <v>283</v>
      </c>
      <c r="I9" s="351" t="s">
        <v>5</v>
      </c>
      <c r="J9" s="355" t="s">
        <v>149</v>
      </c>
      <c r="K9" s="357" t="s">
        <v>150</v>
      </c>
      <c r="L9" s="359" t="s">
        <v>154</v>
      </c>
      <c r="M9" s="33"/>
      <c r="N9" s="361" t="s">
        <v>136</v>
      </c>
      <c r="O9" s="32" t="s">
        <v>135</v>
      </c>
      <c r="P9" s="351" t="s">
        <v>297</v>
      </c>
      <c r="Q9" s="353" t="s">
        <v>283</v>
      </c>
      <c r="R9" s="351" t="s">
        <v>5</v>
      </c>
      <c r="S9" s="356" t="s">
        <v>149</v>
      </c>
      <c r="T9" s="357" t="s">
        <v>150</v>
      </c>
      <c r="U9" s="359" t="s">
        <v>154</v>
      </c>
      <c r="AG9" s="8" t="s">
        <v>145</v>
      </c>
    </row>
    <row r="10" spans="1:33" s="37" customFormat="1" x14ac:dyDescent="0.2">
      <c r="A10" s="34"/>
      <c r="B10" s="934" t="s">
        <v>182</v>
      </c>
      <c r="C10" s="934"/>
      <c r="D10" s="12" t="s">
        <v>197</v>
      </c>
      <c r="E10" s="35"/>
      <c r="F10" s="34"/>
      <c r="G10" s="352">
        <f t="shared" ref="G10:L10" si="0">SUM(G11:G310)</f>
        <v>0</v>
      </c>
      <c r="H10" s="354">
        <f t="shared" si="0"/>
        <v>0</v>
      </c>
      <c r="I10" s="352">
        <f t="shared" si="0"/>
        <v>0</v>
      </c>
      <c r="J10" s="354">
        <f t="shared" si="0"/>
        <v>0</v>
      </c>
      <c r="K10" s="358">
        <f t="shared" si="0"/>
        <v>0</v>
      </c>
      <c r="L10" s="360">
        <f t="shared" si="0"/>
        <v>0</v>
      </c>
      <c r="M10" s="36"/>
      <c r="N10" s="362"/>
      <c r="O10" s="34"/>
      <c r="P10" s="352">
        <f t="shared" ref="P10:U10" si="1">SUM(P11:P310)</f>
        <v>0</v>
      </c>
      <c r="Q10" s="354">
        <f t="shared" si="1"/>
        <v>0</v>
      </c>
      <c r="R10" s="352">
        <f t="shared" si="1"/>
        <v>0</v>
      </c>
      <c r="S10" s="354">
        <f t="shared" si="1"/>
        <v>0</v>
      </c>
      <c r="T10" s="358">
        <f t="shared" si="1"/>
        <v>0</v>
      </c>
      <c r="U10" s="360">
        <f t="shared" si="1"/>
        <v>0</v>
      </c>
      <c r="AG10" s="38" t="s">
        <v>141</v>
      </c>
    </row>
    <row r="11" spans="1:33" x14ac:dyDescent="0.2">
      <c r="A11" s="8">
        <v>1</v>
      </c>
      <c r="B11" s="935"/>
      <c r="C11" s="935"/>
      <c r="D11" s="39"/>
      <c r="E11" s="39"/>
      <c r="F11" s="364"/>
      <c r="G11" s="40"/>
      <c r="H11" s="88"/>
      <c r="I11" s="40"/>
      <c r="J11" s="88">
        <f t="shared" ref="J11:J75" si="2">IF(H11&gt;0,0,IF(G11&gt;0,"Enter Rent $",0))</f>
        <v>0</v>
      </c>
      <c r="K11" s="369"/>
      <c r="L11" s="40"/>
      <c r="M11" s="41"/>
      <c r="N11" s="363"/>
      <c r="O11" s="39"/>
      <c r="P11" s="42"/>
      <c r="Q11" s="373"/>
      <c r="R11" s="42"/>
      <c r="S11" s="88">
        <f t="shared" ref="S11:S12" si="3">IF(Q11&gt;0,0,IF(P11&gt;0,"Enter Rent $",0))</f>
        <v>0</v>
      </c>
      <c r="T11" s="374"/>
      <c r="U11" s="45"/>
      <c r="AG11" s="8" t="s">
        <v>142</v>
      </c>
    </row>
    <row r="12" spans="1:33" x14ac:dyDescent="0.2">
      <c r="A12" s="8">
        <f>A11+1</f>
        <v>2</v>
      </c>
      <c r="B12" s="933"/>
      <c r="C12" s="933"/>
      <c r="D12" s="43"/>
      <c r="E12" s="39"/>
      <c r="F12" s="365"/>
      <c r="G12" s="40"/>
      <c r="H12" s="92"/>
      <c r="I12" s="45"/>
      <c r="J12" s="88">
        <f t="shared" si="2"/>
        <v>0</v>
      </c>
      <c r="K12" s="370"/>
      <c r="L12" s="45"/>
      <c r="M12" s="41"/>
      <c r="N12" s="363"/>
      <c r="O12" s="43"/>
      <c r="P12" s="46"/>
      <c r="Q12" s="367"/>
      <c r="R12" s="46"/>
      <c r="S12" s="88">
        <f t="shared" si="3"/>
        <v>0</v>
      </c>
      <c r="T12" s="375"/>
      <c r="U12" s="45"/>
      <c r="AG12" s="8" t="s">
        <v>143</v>
      </c>
    </row>
    <row r="13" spans="1:33" x14ac:dyDescent="0.2">
      <c r="A13" s="8">
        <f t="shared" ref="A13:A76" si="4">A12+1</f>
        <v>3</v>
      </c>
      <c r="B13" s="933"/>
      <c r="C13" s="933"/>
      <c r="D13" s="43"/>
      <c r="E13" s="39"/>
      <c r="F13" s="365"/>
      <c r="G13" s="40"/>
      <c r="H13" s="92"/>
      <c r="I13" s="45"/>
      <c r="J13" s="88">
        <f t="shared" si="2"/>
        <v>0</v>
      </c>
      <c r="K13" s="370"/>
      <c r="L13" s="45"/>
      <c r="M13" s="41"/>
      <c r="N13" s="363"/>
      <c r="O13" s="43"/>
      <c r="P13" s="46"/>
      <c r="Q13" s="367"/>
      <c r="R13" s="46"/>
      <c r="S13" s="88">
        <f>IF(Q13&gt;0,0,IF(P13&gt;0,"Enter Rent $",0))</f>
        <v>0</v>
      </c>
      <c r="T13" s="375"/>
      <c r="U13" s="45"/>
    </row>
    <row r="14" spans="1:33" x14ac:dyDescent="0.2">
      <c r="A14" s="8">
        <f t="shared" si="4"/>
        <v>4</v>
      </c>
      <c r="B14" s="933"/>
      <c r="C14" s="933"/>
      <c r="D14" s="43"/>
      <c r="E14" s="39"/>
      <c r="F14" s="365"/>
      <c r="G14" s="40"/>
      <c r="H14" s="92"/>
      <c r="I14" s="45"/>
      <c r="J14" s="88">
        <f t="shared" si="2"/>
        <v>0</v>
      </c>
      <c r="K14" s="370"/>
      <c r="L14" s="45"/>
      <c r="M14" s="41"/>
      <c r="N14" s="363"/>
      <c r="O14" s="43"/>
      <c r="P14" s="46"/>
      <c r="Q14" s="367"/>
      <c r="R14" s="46"/>
      <c r="S14" s="88">
        <f t="shared" ref="S14:S77" si="5">IF(Q14&gt;0,0,IF(P14&gt;0,"Enter Rent $",0))</f>
        <v>0</v>
      </c>
      <c r="T14" s="375"/>
      <c r="U14" s="45"/>
    </row>
    <row r="15" spans="1:33" x14ac:dyDescent="0.2">
      <c r="A15" s="8">
        <f t="shared" si="4"/>
        <v>5</v>
      </c>
      <c r="B15" s="933"/>
      <c r="C15" s="933"/>
      <c r="D15" s="43"/>
      <c r="E15" s="39"/>
      <c r="F15" s="365"/>
      <c r="G15" s="40"/>
      <c r="H15" s="92"/>
      <c r="I15" s="45"/>
      <c r="J15" s="88">
        <f t="shared" si="2"/>
        <v>0</v>
      </c>
      <c r="K15" s="370"/>
      <c r="L15" s="45"/>
      <c r="M15" s="41"/>
      <c r="N15" s="363"/>
      <c r="O15" s="43"/>
      <c r="P15" s="46"/>
      <c r="Q15" s="367"/>
      <c r="R15" s="46"/>
      <c r="S15" s="88">
        <f t="shared" si="5"/>
        <v>0</v>
      </c>
      <c r="T15" s="375"/>
      <c r="U15" s="45"/>
    </row>
    <row r="16" spans="1:33" x14ac:dyDescent="0.2">
      <c r="A16" s="8">
        <f t="shared" si="4"/>
        <v>6</v>
      </c>
      <c r="B16" s="933"/>
      <c r="C16" s="933"/>
      <c r="D16" s="43"/>
      <c r="E16" s="39"/>
      <c r="F16" s="365"/>
      <c r="G16" s="40"/>
      <c r="H16" s="92"/>
      <c r="I16" s="45"/>
      <c r="J16" s="88">
        <f t="shared" si="2"/>
        <v>0</v>
      </c>
      <c r="K16" s="370"/>
      <c r="L16" s="45"/>
      <c r="M16" s="41"/>
      <c r="N16" s="363"/>
      <c r="O16" s="43"/>
      <c r="P16" s="46"/>
      <c r="Q16" s="367"/>
      <c r="R16" s="46"/>
      <c r="S16" s="88">
        <f t="shared" si="5"/>
        <v>0</v>
      </c>
      <c r="T16" s="375"/>
      <c r="U16" s="45"/>
    </row>
    <row r="17" spans="1:21" x14ac:dyDescent="0.2">
      <c r="A17" s="8">
        <f t="shared" si="4"/>
        <v>7</v>
      </c>
      <c r="B17" s="933"/>
      <c r="C17" s="933"/>
      <c r="D17" s="43"/>
      <c r="E17" s="39"/>
      <c r="F17" s="365"/>
      <c r="G17" s="40"/>
      <c r="H17" s="92"/>
      <c r="I17" s="45"/>
      <c r="J17" s="88">
        <f t="shared" si="2"/>
        <v>0</v>
      </c>
      <c r="K17" s="370"/>
      <c r="L17" s="45"/>
      <c r="M17" s="41"/>
      <c r="N17" s="363"/>
      <c r="O17" s="43"/>
      <c r="P17" s="46"/>
      <c r="Q17" s="367"/>
      <c r="R17" s="46"/>
      <c r="S17" s="88">
        <f t="shared" si="5"/>
        <v>0</v>
      </c>
      <c r="T17" s="375"/>
      <c r="U17" s="45"/>
    </row>
    <row r="18" spans="1:21" x14ac:dyDescent="0.2">
      <c r="A18" s="8">
        <f t="shared" si="4"/>
        <v>8</v>
      </c>
      <c r="B18" s="933"/>
      <c r="C18" s="933"/>
      <c r="D18" s="43"/>
      <c r="E18" s="39"/>
      <c r="F18" s="365"/>
      <c r="G18" s="40"/>
      <c r="H18" s="92"/>
      <c r="I18" s="45"/>
      <c r="J18" s="88">
        <f t="shared" si="2"/>
        <v>0</v>
      </c>
      <c r="K18" s="370"/>
      <c r="L18" s="45"/>
      <c r="M18" s="41"/>
      <c r="N18" s="363"/>
      <c r="O18" s="43"/>
      <c r="P18" s="46"/>
      <c r="Q18" s="367"/>
      <c r="R18" s="46"/>
      <c r="S18" s="88">
        <f t="shared" si="5"/>
        <v>0</v>
      </c>
      <c r="T18" s="375"/>
      <c r="U18" s="45"/>
    </row>
    <row r="19" spans="1:21" x14ac:dyDescent="0.2">
      <c r="A19" s="8">
        <f t="shared" si="4"/>
        <v>9</v>
      </c>
      <c r="B19" s="933"/>
      <c r="C19" s="933"/>
      <c r="D19" s="43"/>
      <c r="E19" s="39"/>
      <c r="F19" s="365"/>
      <c r="G19" s="40"/>
      <c r="H19" s="92"/>
      <c r="I19" s="45"/>
      <c r="J19" s="88">
        <f t="shared" si="2"/>
        <v>0</v>
      </c>
      <c r="K19" s="370"/>
      <c r="L19" s="45"/>
      <c r="M19" s="41"/>
      <c r="N19" s="363"/>
      <c r="O19" s="43"/>
      <c r="P19" s="46"/>
      <c r="Q19" s="367"/>
      <c r="R19" s="46"/>
      <c r="S19" s="88">
        <f t="shared" si="5"/>
        <v>0</v>
      </c>
      <c r="T19" s="375"/>
      <c r="U19" s="45"/>
    </row>
    <row r="20" spans="1:21" x14ac:dyDescent="0.2">
      <c r="A20" s="8">
        <f t="shared" si="4"/>
        <v>10</v>
      </c>
      <c r="B20" s="933"/>
      <c r="C20" s="933"/>
      <c r="D20" s="43"/>
      <c r="E20" s="39"/>
      <c r="F20" s="365"/>
      <c r="G20" s="40"/>
      <c r="H20" s="92"/>
      <c r="I20" s="45"/>
      <c r="J20" s="88">
        <f t="shared" si="2"/>
        <v>0</v>
      </c>
      <c r="K20" s="370"/>
      <c r="L20" s="45"/>
      <c r="M20" s="41"/>
      <c r="N20" s="363"/>
      <c r="O20" s="43"/>
      <c r="P20" s="46"/>
      <c r="Q20" s="367"/>
      <c r="R20" s="46"/>
      <c r="S20" s="88">
        <f t="shared" si="5"/>
        <v>0</v>
      </c>
      <c r="T20" s="375"/>
      <c r="U20" s="45"/>
    </row>
    <row r="21" spans="1:21" x14ac:dyDescent="0.2">
      <c r="A21" s="8">
        <f t="shared" si="4"/>
        <v>11</v>
      </c>
      <c r="B21" s="933"/>
      <c r="C21" s="933"/>
      <c r="D21" s="43"/>
      <c r="E21" s="39"/>
      <c r="F21" s="365"/>
      <c r="G21" s="40"/>
      <c r="H21" s="92"/>
      <c r="I21" s="45"/>
      <c r="J21" s="88">
        <f t="shared" si="2"/>
        <v>0</v>
      </c>
      <c r="K21" s="370"/>
      <c r="L21" s="45"/>
      <c r="M21" s="41"/>
      <c r="N21" s="363"/>
      <c r="O21" s="43"/>
      <c r="P21" s="46"/>
      <c r="Q21" s="367"/>
      <c r="R21" s="46"/>
      <c r="S21" s="88">
        <f t="shared" si="5"/>
        <v>0</v>
      </c>
      <c r="T21" s="375"/>
      <c r="U21" s="45"/>
    </row>
    <row r="22" spans="1:21" x14ac:dyDescent="0.2">
      <c r="A22" s="8">
        <f t="shared" si="4"/>
        <v>12</v>
      </c>
      <c r="B22" s="933"/>
      <c r="C22" s="933"/>
      <c r="D22" s="43"/>
      <c r="E22" s="39"/>
      <c r="F22" s="365"/>
      <c r="G22" s="40"/>
      <c r="H22" s="92"/>
      <c r="I22" s="45"/>
      <c r="J22" s="88">
        <f t="shared" si="2"/>
        <v>0</v>
      </c>
      <c r="K22" s="370"/>
      <c r="L22" s="45"/>
      <c r="M22" s="41"/>
      <c r="N22" s="363"/>
      <c r="O22" s="43"/>
      <c r="P22" s="46"/>
      <c r="Q22" s="367"/>
      <c r="R22" s="46"/>
      <c r="S22" s="88">
        <f t="shared" si="5"/>
        <v>0</v>
      </c>
      <c r="T22" s="375"/>
      <c r="U22" s="45"/>
    </row>
    <row r="23" spans="1:21" x14ac:dyDescent="0.2">
      <c r="A23" s="8">
        <f t="shared" si="4"/>
        <v>13</v>
      </c>
      <c r="B23" s="933"/>
      <c r="C23" s="933"/>
      <c r="D23" s="43"/>
      <c r="E23" s="39"/>
      <c r="F23" s="365"/>
      <c r="G23" s="40"/>
      <c r="H23" s="92"/>
      <c r="I23" s="45"/>
      <c r="J23" s="88">
        <f t="shared" si="2"/>
        <v>0</v>
      </c>
      <c r="K23" s="370"/>
      <c r="L23" s="45"/>
      <c r="M23" s="41"/>
      <c r="N23" s="363"/>
      <c r="O23" s="43"/>
      <c r="P23" s="46"/>
      <c r="Q23" s="367"/>
      <c r="R23" s="46"/>
      <c r="S23" s="88">
        <f t="shared" si="5"/>
        <v>0</v>
      </c>
      <c r="T23" s="375"/>
      <c r="U23" s="45"/>
    </row>
    <row r="24" spans="1:21" x14ac:dyDescent="0.2">
      <c r="A24" s="8">
        <f t="shared" si="4"/>
        <v>14</v>
      </c>
      <c r="B24" s="933"/>
      <c r="C24" s="933"/>
      <c r="D24" s="43"/>
      <c r="E24" s="39"/>
      <c r="F24" s="365"/>
      <c r="G24" s="40"/>
      <c r="H24" s="92"/>
      <c r="I24" s="45"/>
      <c r="J24" s="88">
        <f t="shared" si="2"/>
        <v>0</v>
      </c>
      <c r="K24" s="370"/>
      <c r="L24" s="45"/>
      <c r="M24" s="41"/>
      <c r="N24" s="363"/>
      <c r="O24" s="43"/>
      <c r="P24" s="46"/>
      <c r="Q24" s="367"/>
      <c r="R24" s="46"/>
      <c r="S24" s="88">
        <f t="shared" si="5"/>
        <v>0</v>
      </c>
      <c r="T24" s="375"/>
      <c r="U24" s="45"/>
    </row>
    <row r="25" spans="1:21" x14ac:dyDescent="0.2">
      <c r="A25" s="8">
        <f t="shared" si="4"/>
        <v>15</v>
      </c>
      <c r="B25" s="933"/>
      <c r="C25" s="933"/>
      <c r="D25" s="43"/>
      <c r="E25" s="39"/>
      <c r="F25" s="365"/>
      <c r="G25" s="40"/>
      <c r="H25" s="92"/>
      <c r="I25" s="45"/>
      <c r="J25" s="88">
        <f t="shared" si="2"/>
        <v>0</v>
      </c>
      <c r="K25" s="370"/>
      <c r="L25" s="45"/>
      <c r="M25" s="41"/>
      <c r="N25" s="363"/>
      <c r="O25" s="43"/>
      <c r="P25" s="46"/>
      <c r="Q25" s="367"/>
      <c r="R25" s="46"/>
      <c r="S25" s="88">
        <f t="shared" si="5"/>
        <v>0</v>
      </c>
      <c r="T25" s="375"/>
      <c r="U25" s="45"/>
    </row>
    <row r="26" spans="1:21" x14ac:dyDescent="0.2">
      <c r="A26" s="8">
        <f t="shared" si="4"/>
        <v>16</v>
      </c>
      <c r="B26" s="933"/>
      <c r="C26" s="933"/>
      <c r="D26" s="43"/>
      <c r="E26" s="39"/>
      <c r="F26" s="365"/>
      <c r="G26" s="40"/>
      <c r="H26" s="92"/>
      <c r="I26" s="45"/>
      <c r="J26" s="88">
        <f t="shared" si="2"/>
        <v>0</v>
      </c>
      <c r="K26" s="370"/>
      <c r="L26" s="45"/>
      <c r="M26" s="41"/>
      <c r="N26" s="363"/>
      <c r="O26" s="43"/>
      <c r="P26" s="46"/>
      <c r="Q26" s="367"/>
      <c r="R26" s="46"/>
      <c r="S26" s="88">
        <f t="shared" si="5"/>
        <v>0</v>
      </c>
      <c r="T26" s="375"/>
      <c r="U26" s="45"/>
    </row>
    <row r="27" spans="1:21" x14ac:dyDescent="0.2">
      <c r="A27" s="8">
        <f t="shared" si="4"/>
        <v>17</v>
      </c>
      <c r="B27" s="933"/>
      <c r="C27" s="933"/>
      <c r="D27" s="43"/>
      <c r="E27" s="39"/>
      <c r="F27" s="365"/>
      <c r="G27" s="40"/>
      <c r="H27" s="92"/>
      <c r="I27" s="45"/>
      <c r="J27" s="88">
        <f t="shared" si="2"/>
        <v>0</v>
      </c>
      <c r="K27" s="370"/>
      <c r="L27" s="45"/>
      <c r="M27" s="41"/>
      <c r="N27" s="363"/>
      <c r="O27" s="43"/>
      <c r="P27" s="46"/>
      <c r="Q27" s="367"/>
      <c r="R27" s="46"/>
      <c r="S27" s="88">
        <f t="shared" si="5"/>
        <v>0</v>
      </c>
      <c r="T27" s="375"/>
      <c r="U27" s="45"/>
    </row>
    <row r="28" spans="1:21" x14ac:dyDescent="0.2">
      <c r="A28" s="8">
        <f t="shared" si="4"/>
        <v>18</v>
      </c>
      <c r="B28" s="933"/>
      <c r="C28" s="933"/>
      <c r="D28" s="43"/>
      <c r="E28" s="39"/>
      <c r="F28" s="365"/>
      <c r="G28" s="40"/>
      <c r="H28" s="92"/>
      <c r="I28" s="45"/>
      <c r="J28" s="88">
        <f t="shared" si="2"/>
        <v>0</v>
      </c>
      <c r="K28" s="370"/>
      <c r="L28" s="45"/>
      <c r="M28" s="41"/>
      <c r="N28" s="363"/>
      <c r="O28" s="43"/>
      <c r="P28" s="46"/>
      <c r="Q28" s="367"/>
      <c r="R28" s="46"/>
      <c r="S28" s="88">
        <f t="shared" si="5"/>
        <v>0</v>
      </c>
      <c r="T28" s="375"/>
      <c r="U28" s="45"/>
    </row>
    <row r="29" spans="1:21" x14ac:dyDescent="0.2">
      <c r="A29" s="8">
        <f t="shared" si="4"/>
        <v>19</v>
      </c>
      <c r="B29" s="933"/>
      <c r="C29" s="933"/>
      <c r="D29" s="43"/>
      <c r="E29" s="39"/>
      <c r="F29" s="365"/>
      <c r="G29" s="40"/>
      <c r="H29" s="92"/>
      <c r="I29" s="45"/>
      <c r="J29" s="88">
        <f t="shared" si="2"/>
        <v>0</v>
      </c>
      <c r="K29" s="370"/>
      <c r="L29" s="45"/>
      <c r="M29" s="41"/>
      <c r="N29" s="363"/>
      <c r="O29" s="43"/>
      <c r="P29" s="46"/>
      <c r="Q29" s="367"/>
      <c r="R29" s="46"/>
      <c r="S29" s="88">
        <f t="shared" si="5"/>
        <v>0</v>
      </c>
      <c r="T29" s="375"/>
      <c r="U29" s="45"/>
    </row>
    <row r="30" spans="1:21" x14ac:dyDescent="0.2">
      <c r="A30" s="8">
        <f t="shared" si="4"/>
        <v>20</v>
      </c>
      <c r="B30" s="933"/>
      <c r="C30" s="933"/>
      <c r="D30" s="43"/>
      <c r="E30" s="39"/>
      <c r="F30" s="365"/>
      <c r="G30" s="45"/>
      <c r="H30" s="92"/>
      <c r="I30" s="45"/>
      <c r="J30" s="88">
        <f t="shared" si="2"/>
        <v>0</v>
      </c>
      <c r="K30" s="370"/>
      <c r="L30" s="45"/>
      <c r="M30" s="41"/>
      <c r="N30" s="363"/>
      <c r="O30" s="43"/>
      <c r="P30" s="46"/>
      <c r="Q30" s="367"/>
      <c r="R30" s="46"/>
      <c r="S30" s="88">
        <f t="shared" si="5"/>
        <v>0</v>
      </c>
      <c r="T30" s="375"/>
      <c r="U30" s="45"/>
    </row>
    <row r="31" spans="1:21" x14ac:dyDescent="0.2">
      <c r="A31" s="8">
        <f t="shared" si="4"/>
        <v>21</v>
      </c>
      <c r="B31" s="933"/>
      <c r="C31" s="933"/>
      <c r="D31" s="43"/>
      <c r="E31" s="39"/>
      <c r="F31" s="365"/>
      <c r="G31" s="45"/>
      <c r="H31" s="92"/>
      <c r="I31" s="45"/>
      <c r="J31" s="88">
        <f t="shared" si="2"/>
        <v>0</v>
      </c>
      <c r="K31" s="370"/>
      <c r="L31" s="45"/>
      <c r="M31" s="41"/>
      <c r="N31" s="363"/>
      <c r="O31" s="43"/>
      <c r="P31" s="46"/>
      <c r="Q31" s="367"/>
      <c r="R31" s="46"/>
      <c r="S31" s="88">
        <f t="shared" si="5"/>
        <v>0</v>
      </c>
      <c r="T31" s="375"/>
      <c r="U31" s="45"/>
    </row>
    <row r="32" spans="1:21" x14ac:dyDescent="0.2">
      <c r="A32" s="8">
        <f t="shared" si="4"/>
        <v>22</v>
      </c>
      <c r="B32" s="933"/>
      <c r="C32" s="933"/>
      <c r="D32" s="43"/>
      <c r="E32" s="39"/>
      <c r="F32" s="365"/>
      <c r="G32" s="45"/>
      <c r="H32" s="92"/>
      <c r="I32" s="45"/>
      <c r="J32" s="88">
        <f t="shared" si="2"/>
        <v>0</v>
      </c>
      <c r="K32" s="370"/>
      <c r="L32" s="45"/>
      <c r="M32" s="41"/>
      <c r="N32" s="363"/>
      <c r="O32" s="43"/>
      <c r="P32" s="46"/>
      <c r="Q32" s="367"/>
      <c r="R32" s="46"/>
      <c r="S32" s="88">
        <f t="shared" si="5"/>
        <v>0</v>
      </c>
      <c r="T32" s="375"/>
      <c r="U32" s="45"/>
    </row>
    <row r="33" spans="1:21" x14ac:dyDescent="0.2">
      <c r="A33" s="8">
        <f t="shared" si="4"/>
        <v>23</v>
      </c>
      <c r="B33" s="933"/>
      <c r="C33" s="933"/>
      <c r="D33" s="43"/>
      <c r="E33" s="39"/>
      <c r="F33" s="365"/>
      <c r="G33" s="45"/>
      <c r="H33" s="92"/>
      <c r="I33" s="45"/>
      <c r="J33" s="88">
        <f t="shared" si="2"/>
        <v>0</v>
      </c>
      <c r="K33" s="370"/>
      <c r="L33" s="45"/>
      <c r="M33" s="41"/>
      <c r="N33" s="363"/>
      <c r="O33" s="43"/>
      <c r="P33" s="46"/>
      <c r="Q33" s="367"/>
      <c r="R33" s="46"/>
      <c r="S33" s="88">
        <f t="shared" si="5"/>
        <v>0</v>
      </c>
      <c r="T33" s="375"/>
      <c r="U33" s="45"/>
    </row>
    <row r="34" spans="1:21" x14ac:dyDescent="0.2">
      <c r="A34" s="8">
        <f t="shared" si="4"/>
        <v>24</v>
      </c>
      <c r="B34" s="933"/>
      <c r="C34" s="933"/>
      <c r="D34" s="43"/>
      <c r="E34" s="39"/>
      <c r="F34" s="365"/>
      <c r="G34" s="45"/>
      <c r="H34" s="92"/>
      <c r="I34" s="45"/>
      <c r="J34" s="88">
        <f t="shared" si="2"/>
        <v>0</v>
      </c>
      <c r="K34" s="370"/>
      <c r="L34" s="45"/>
      <c r="M34" s="41"/>
      <c r="N34" s="363"/>
      <c r="O34" s="43"/>
      <c r="P34" s="46"/>
      <c r="Q34" s="367"/>
      <c r="R34" s="46"/>
      <c r="S34" s="88">
        <f t="shared" si="5"/>
        <v>0</v>
      </c>
      <c r="T34" s="375"/>
      <c r="U34" s="45"/>
    </row>
    <row r="35" spans="1:21" x14ac:dyDescent="0.2">
      <c r="A35" s="8">
        <f t="shared" si="4"/>
        <v>25</v>
      </c>
      <c r="B35" s="933"/>
      <c r="C35" s="933"/>
      <c r="D35" s="43"/>
      <c r="E35" s="39"/>
      <c r="F35" s="365"/>
      <c r="G35" s="45"/>
      <c r="H35" s="92"/>
      <c r="I35" s="45"/>
      <c r="J35" s="88">
        <f t="shared" si="2"/>
        <v>0</v>
      </c>
      <c r="K35" s="370"/>
      <c r="L35" s="45"/>
      <c r="M35" s="41"/>
      <c r="N35" s="363"/>
      <c r="O35" s="43"/>
      <c r="P35" s="46"/>
      <c r="Q35" s="367"/>
      <c r="R35" s="46"/>
      <c r="S35" s="88">
        <f t="shared" si="5"/>
        <v>0</v>
      </c>
      <c r="T35" s="375"/>
      <c r="U35" s="45"/>
    </row>
    <row r="36" spans="1:21" x14ac:dyDescent="0.2">
      <c r="A36" s="8">
        <f t="shared" si="4"/>
        <v>26</v>
      </c>
      <c r="B36" s="933"/>
      <c r="C36" s="933"/>
      <c r="D36" s="43"/>
      <c r="E36" s="39"/>
      <c r="F36" s="365"/>
      <c r="G36" s="45"/>
      <c r="H36" s="92"/>
      <c r="I36" s="45"/>
      <c r="J36" s="88">
        <f t="shared" si="2"/>
        <v>0</v>
      </c>
      <c r="K36" s="370"/>
      <c r="L36" s="45"/>
      <c r="M36" s="41"/>
      <c r="N36" s="363"/>
      <c r="O36" s="43"/>
      <c r="P36" s="46"/>
      <c r="Q36" s="367"/>
      <c r="R36" s="46"/>
      <c r="S36" s="88">
        <f t="shared" si="5"/>
        <v>0</v>
      </c>
      <c r="T36" s="375"/>
      <c r="U36" s="45"/>
    </row>
    <row r="37" spans="1:21" x14ac:dyDescent="0.2">
      <c r="A37" s="8">
        <f t="shared" si="4"/>
        <v>27</v>
      </c>
      <c r="B37" s="933"/>
      <c r="C37" s="933"/>
      <c r="D37" s="43"/>
      <c r="E37" s="39"/>
      <c r="F37" s="365"/>
      <c r="G37" s="45"/>
      <c r="H37" s="92"/>
      <c r="I37" s="45"/>
      <c r="J37" s="88">
        <f t="shared" si="2"/>
        <v>0</v>
      </c>
      <c r="K37" s="370"/>
      <c r="L37" s="45"/>
      <c r="M37" s="41"/>
      <c r="N37" s="363"/>
      <c r="O37" s="43"/>
      <c r="P37" s="46"/>
      <c r="Q37" s="367"/>
      <c r="R37" s="46"/>
      <c r="S37" s="88">
        <f t="shared" si="5"/>
        <v>0</v>
      </c>
      <c r="T37" s="375"/>
      <c r="U37" s="45"/>
    </row>
    <row r="38" spans="1:21" x14ac:dyDescent="0.2">
      <c r="A38" s="8">
        <f t="shared" si="4"/>
        <v>28</v>
      </c>
      <c r="B38" s="933"/>
      <c r="C38" s="933"/>
      <c r="D38" s="43"/>
      <c r="E38" s="39"/>
      <c r="F38" s="365"/>
      <c r="G38" s="45"/>
      <c r="H38" s="92"/>
      <c r="I38" s="45"/>
      <c r="J38" s="88">
        <f t="shared" si="2"/>
        <v>0</v>
      </c>
      <c r="K38" s="370"/>
      <c r="L38" s="45"/>
      <c r="M38" s="41"/>
      <c r="N38" s="363"/>
      <c r="O38" s="43"/>
      <c r="P38" s="46"/>
      <c r="Q38" s="367"/>
      <c r="R38" s="46"/>
      <c r="S38" s="88">
        <f t="shared" si="5"/>
        <v>0</v>
      </c>
      <c r="T38" s="375"/>
      <c r="U38" s="45"/>
    </row>
    <row r="39" spans="1:21" x14ac:dyDescent="0.2">
      <c r="A39" s="8">
        <f t="shared" si="4"/>
        <v>29</v>
      </c>
      <c r="B39" s="933"/>
      <c r="C39" s="933"/>
      <c r="D39" s="43"/>
      <c r="E39" s="39"/>
      <c r="F39" s="365"/>
      <c r="G39" s="45"/>
      <c r="H39" s="92"/>
      <c r="I39" s="45"/>
      <c r="J39" s="88">
        <f t="shared" si="2"/>
        <v>0</v>
      </c>
      <c r="K39" s="370"/>
      <c r="L39" s="45"/>
      <c r="M39" s="41"/>
      <c r="N39" s="363"/>
      <c r="O39" s="43"/>
      <c r="P39" s="46"/>
      <c r="Q39" s="367"/>
      <c r="R39" s="46"/>
      <c r="S39" s="88">
        <f t="shared" si="5"/>
        <v>0</v>
      </c>
      <c r="T39" s="375"/>
      <c r="U39" s="45"/>
    </row>
    <row r="40" spans="1:21" x14ac:dyDescent="0.2">
      <c r="A40" s="8">
        <f t="shared" si="4"/>
        <v>30</v>
      </c>
      <c r="B40" s="933"/>
      <c r="C40" s="933"/>
      <c r="D40" s="43"/>
      <c r="E40" s="39"/>
      <c r="F40" s="365"/>
      <c r="G40" s="45"/>
      <c r="H40" s="92"/>
      <c r="I40" s="45"/>
      <c r="J40" s="88">
        <f t="shared" si="2"/>
        <v>0</v>
      </c>
      <c r="K40" s="370"/>
      <c r="L40" s="45"/>
      <c r="M40" s="41"/>
      <c r="N40" s="363"/>
      <c r="O40" s="43"/>
      <c r="P40" s="46"/>
      <c r="Q40" s="367"/>
      <c r="R40" s="46"/>
      <c r="S40" s="88">
        <f t="shared" si="5"/>
        <v>0</v>
      </c>
      <c r="T40" s="375"/>
      <c r="U40" s="45"/>
    </row>
    <row r="41" spans="1:21" x14ac:dyDescent="0.2">
      <c r="A41" s="8">
        <f t="shared" si="4"/>
        <v>31</v>
      </c>
      <c r="B41" s="933"/>
      <c r="C41" s="933"/>
      <c r="D41" s="43"/>
      <c r="E41" s="39"/>
      <c r="F41" s="365"/>
      <c r="G41" s="46"/>
      <c r="H41" s="367"/>
      <c r="I41" s="46"/>
      <c r="J41" s="88">
        <f t="shared" si="2"/>
        <v>0</v>
      </c>
      <c r="K41" s="371"/>
      <c r="L41" s="46"/>
      <c r="M41" s="41"/>
      <c r="N41" s="363"/>
      <c r="O41" s="43"/>
      <c r="P41" s="46"/>
      <c r="Q41" s="367"/>
      <c r="R41" s="46"/>
      <c r="S41" s="88">
        <f t="shared" si="5"/>
        <v>0</v>
      </c>
      <c r="T41" s="376"/>
      <c r="U41" s="46"/>
    </row>
    <row r="42" spans="1:21" x14ac:dyDescent="0.2">
      <c r="A42" s="8">
        <f t="shared" si="4"/>
        <v>32</v>
      </c>
      <c r="B42" s="933"/>
      <c r="C42" s="933"/>
      <c r="D42" s="43"/>
      <c r="E42" s="39"/>
      <c r="F42" s="365"/>
      <c r="G42" s="46"/>
      <c r="H42" s="367"/>
      <c r="I42" s="46"/>
      <c r="J42" s="88">
        <f t="shared" si="2"/>
        <v>0</v>
      </c>
      <c r="K42" s="371"/>
      <c r="L42" s="46"/>
      <c r="M42" s="41"/>
      <c r="N42" s="363"/>
      <c r="O42" s="43"/>
      <c r="P42" s="46"/>
      <c r="Q42" s="367"/>
      <c r="R42" s="46"/>
      <c r="S42" s="88">
        <f t="shared" si="5"/>
        <v>0</v>
      </c>
      <c r="T42" s="376"/>
      <c r="U42" s="46"/>
    </row>
    <row r="43" spans="1:21" x14ac:dyDescent="0.2">
      <c r="A43" s="8">
        <f t="shared" si="4"/>
        <v>33</v>
      </c>
      <c r="B43" s="933"/>
      <c r="C43" s="933"/>
      <c r="D43" s="43"/>
      <c r="E43" s="39"/>
      <c r="F43" s="365"/>
      <c r="G43" s="46"/>
      <c r="H43" s="367"/>
      <c r="I43" s="46"/>
      <c r="J43" s="88">
        <f t="shared" si="2"/>
        <v>0</v>
      </c>
      <c r="K43" s="371"/>
      <c r="L43" s="46"/>
      <c r="M43" s="41"/>
      <c r="N43" s="363"/>
      <c r="O43" s="43"/>
      <c r="P43" s="46"/>
      <c r="Q43" s="367"/>
      <c r="R43" s="46"/>
      <c r="S43" s="88">
        <f t="shared" si="5"/>
        <v>0</v>
      </c>
      <c r="T43" s="376"/>
      <c r="U43" s="46"/>
    </row>
    <row r="44" spans="1:21" x14ac:dyDescent="0.2">
      <c r="A44" s="8">
        <f t="shared" si="4"/>
        <v>34</v>
      </c>
      <c r="B44" s="933"/>
      <c r="C44" s="933"/>
      <c r="D44" s="43"/>
      <c r="E44" s="39"/>
      <c r="F44" s="365"/>
      <c r="G44" s="46"/>
      <c r="H44" s="367"/>
      <c r="I44" s="46"/>
      <c r="J44" s="88">
        <f t="shared" si="2"/>
        <v>0</v>
      </c>
      <c r="K44" s="371"/>
      <c r="L44" s="46"/>
      <c r="M44" s="41"/>
      <c r="N44" s="363"/>
      <c r="O44" s="43"/>
      <c r="P44" s="46"/>
      <c r="Q44" s="367"/>
      <c r="R44" s="46"/>
      <c r="S44" s="88">
        <f t="shared" si="5"/>
        <v>0</v>
      </c>
      <c r="T44" s="376"/>
      <c r="U44" s="46"/>
    </row>
    <row r="45" spans="1:21" x14ac:dyDescent="0.2">
      <c r="A45" s="8">
        <f t="shared" si="4"/>
        <v>35</v>
      </c>
      <c r="B45" s="933"/>
      <c r="C45" s="933"/>
      <c r="D45" s="43"/>
      <c r="E45" s="39"/>
      <c r="F45" s="365"/>
      <c r="G45" s="46"/>
      <c r="H45" s="367"/>
      <c r="I45" s="46"/>
      <c r="J45" s="88">
        <f t="shared" si="2"/>
        <v>0</v>
      </c>
      <c r="K45" s="371"/>
      <c r="L45" s="46"/>
      <c r="M45" s="41"/>
      <c r="N45" s="363"/>
      <c r="O45" s="43"/>
      <c r="P45" s="46"/>
      <c r="Q45" s="367"/>
      <c r="R45" s="46"/>
      <c r="S45" s="88">
        <f t="shared" si="5"/>
        <v>0</v>
      </c>
      <c r="T45" s="376"/>
      <c r="U45" s="46"/>
    </row>
    <row r="46" spans="1:21" x14ac:dyDescent="0.2">
      <c r="A46" s="8">
        <f t="shared" si="4"/>
        <v>36</v>
      </c>
      <c r="B46" s="933"/>
      <c r="C46" s="933"/>
      <c r="D46" s="43"/>
      <c r="E46" s="39"/>
      <c r="F46" s="365"/>
      <c r="G46" s="46"/>
      <c r="H46" s="367"/>
      <c r="I46" s="46"/>
      <c r="J46" s="88">
        <f t="shared" si="2"/>
        <v>0</v>
      </c>
      <c r="K46" s="371"/>
      <c r="L46" s="46"/>
      <c r="M46" s="41"/>
      <c r="N46" s="363"/>
      <c r="O46" s="43"/>
      <c r="P46" s="46"/>
      <c r="Q46" s="367"/>
      <c r="R46" s="46"/>
      <c r="S46" s="88">
        <f t="shared" si="5"/>
        <v>0</v>
      </c>
      <c r="T46" s="376"/>
      <c r="U46" s="46"/>
    </row>
    <row r="47" spans="1:21" x14ac:dyDescent="0.2">
      <c r="A47" s="8">
        <f t="shared" si="4"/>
        <v>37</v>
      </c>
      <c r="B47" s="933"/>
      <c r="C47" s="933"/>
      <c r="D47" s="43"/>
      <c r="E47" s="39"/>
      <c r="F47" s="365"/>
      <c r="G47" s="46"/>
      <c r="H47" s="367"/>
      <c r="I47" s="46"/>
      <c r="J47" s="88">
        <f t="shared" si="2"/>
        <v>0</v>
      </c>
      <c r="K47" s="371"/>
      <c r="L47" s="46"/>
      <c r="M47" s="41"/>
      <c r="N47" s="363"/>
      <c r="O47" s="43"/>
      <c r="P47" s="46"/>
      <c r="Q47" s="367"/>
      <c r="R47" s="46"/>
      <c r="S47" s="88">
        <f t="shared" si="5"/>
        <v>0</v>
      </c>
      <c r="T47" s="376"/>
      <c r="U47" s="46"/>
    </row>
    <row r="48" spans="1:21" x14ac:dyDescent="0.2">
      <c r="A48" s="8">
        <f t="shared" si="4"/>
        <v>38</v>
      </c>
      <c r="B48" s="933"/>
      <c r="C48" s="933"/>
      <c r="D48" s="43"/>
      <c r="E48" s="39"/>
      <c r="F48" s="365"/>
      <c r="G48" s="46"/>
      <c r="H48" s="367"/>
      <c r="I48" s="46"/>
      <c r="J48" s="88">
        <f t="shared" si="2"/>
        <v>0</v>
      </c>
      <c r="K48" s="371"/>
      <c r="L48" s="46"/>
      <c r="M48" s="41"/>
      <c r="N48" s="363"/>
      <c r="O48" s="43"/>
      <c r="P48" s="46"/>
      <c r="Q48" s="367"/>
      <c r="R48" s="46"/>
      <c r="S48" s="88">
        <f t="shared" si="5"/>
        <v>0</v>
      </c>
      <c r="T48" s="376"/>
      <c r="U48" s="46"/>
    </row>
    <row r="49" spans="1:21" x14ac:dyDescent="0.2">
      <c r="A49" s="8">
        <f t="shared" si="4"/>
        <v>39</v>
      </c>
      <c r="B49" s="933"/>
      <c r="C49" s="933"/>
      <c r="D49" s="43"/>
      <c r="E49" s="39"/>
      <c r="F49" s="365"/>
      <c r="G49" s="46"/>
      <c r="H49" s="367"/>
      <c r="I49" s="46"/>
      <c r="J49" s="88">
        <f t="shared" si="2"/>
        <v>0</v>
      </c>
      <c r="K49" s="371"/>
      <c r="L49" s="46"/>
      <c r="M49" s="41"/>
      <c r="N49" s="363"/>
      <c r="O49" s="43"/>
      <c r="P49" s="46"/>
      <c r="Q49" s="367"/>
      <c r="R49" s="46"/>
      <c r="S49" s="88">
        <f t="shared" si="5"/>
        <v>0</v>
      </c>
      <c r="T49" s="376"/>
      <c r="U49" s="46"/>
    </row>
    <row r="50" spans="1:21" x14ac:dyDescent="0.2">
      <c r="A50" s="8">
        <f t="shared" si="4"/>
        <v>40</v>
      </c>
      <c r="B50" s="933"/>
      <c r="C50" s="933"/>
      <c r="D50" s="43"/>
      <c r="E50" s="39"/>
      <c r="F50" s="365"/>
      <c r="G50" s="46"/>
      <c r="H50" s="367"/>
      <c r="I50" s="46"/>
      <c r="J50" s="88">
        <f t="shared" si="2"/>
        <v>0</v>
      </c>
      <c r="K50" s="371"/>
      <c r="L50" s="46"/>
      <c r="M50" s="41"/>
      <c r="N50" s="363"/>
      <c r="O50" s="43"/>
      <c r="P50" s="46"/>
      <c r="Q50" s="367"/>
      <c r="R50" s="46"/>
      <c r="S50" s="88">
        <f t="shared" si="5"/>
        <v>0</v>
      </c>
      <c r="T50" s="376"/>
      <c r="U50" s="46"/>
    </row>
    <row r="51" spans="1:21" x14ac:dyDescent="0.2">
      <c r="A51" s="8">
        <f t="shared" si="4"/>
        <v>41</v>
      </c>
      <c r="B51" s="933"/>
      <c r="C51" s="933"/>
      <c r="D51" s="43"/>
      <c r="E51" s="39"/>
      <c r="F51" s="365"/>
      <c r="G51" s="46"/>
      <c r="H51" s="367"/>
      <c r="I51" s="46"/>
      <c r="J51" s="88">
        <f t="shared" si="2"/>
        <v>0</v>
      </c>
      <c r="K51" s="371"/>
      <c r="L51" s="46"/>
      <c r="M51" s="41"/>
      <c r="N51" s="363"/>
      <c r="O51" s="43"/>
      <c r="P51" s="46"/>
      <c r="Q51" s="367"/>
      <c r="R51" s="46"/>
      <c r="S51" s="88">
        <f t="shared" si="5"/>
        <v>0</v>
      </c>
      <c r="T51" s="376"/>
      <c r="U51" s="46"/>
    </row>
    <row r="52" spans="1:21" x14ac:dyDescent="0.2">
      <c r="A52" s="8">
        <f t="shared" si="4"/>
        <v>42</v>
      </c>
      <c r="B52" s="933"/>
      <c r="C52" s="933"/>
      <c r="D52" s="43"/>
      <c r="E52" s="39"/>
      <c r="F52" s="365"/>
      <c r="G52" s="46"/>
      <c r="H52" s="367"/>
      <c r="I52" s="46"/>
      <c r="J52" s="88">
        <f t="shared" si="2"/>
        <v>0</v>
      </c>
      <c r="K52" s="371"/>
      <c r="L52" s="46"/>
      <c r="M52" s="41"/>
      <c r="N52" s="363"/>
      <c r="O52" s="43"/>
      <c r="P52" s="46"/>
      <c r="Q52" s="367"/>
      <c r="R52" s="46"/>
      <c r="S52" s="88">
        <f t="shared" si="5"/>
        <v>0</v>
      </c>
      <c r="T52" s="376"/>
      <c r="U52" s="46"/>
    </row>
    <row r="53" spans="1:21" x14ac:dyDescent="0.2">
      <c r="A53" s="8">
        <f t="shared" si="4"/>
        <v>43</v>
      </c>
      <c r="B53" s="933"/>
      <c r="C53" s="933"/>
      <c r="D53" s="43"/>
      <c r="E53" s="39"/>
      <c r="F53" s="365"/>
      <c r="G53" s="46"/>
      <c r="H53" s="367"/>
      <c r="I53" s="46"/>
      <c r="J53" s="88">
        <f t="shared" si="2"/>
        <v>0</v>
      </c>
      <c r="K53" s="371"/>
      <c r="L53" s="46"/>
      <c r="M53" s="41"/>
      <c r="N53" s="363"/>
      <c r="O53" s="43"/>
      <c r="P53" s="46"/>
      <c r="Q53" s="367"/>
      <c r="R53" s="46"/>
      <c r="S53" s="88">
        <f t="shared" si="5"/>
        <v>0</v>
      </c>
      <c r="T53" s="376"/>
      <c r="U53" s="46"/>
    </row>
    <row r="54" spans="1:21" x14ac:dyDescent="0.2">
      <c r="A54" s="8">
        <f t="shared" si="4"/>
        <v>44</v>
      </c>
      <c r="B54" s="933"/>
      <c r="C54" s="933"/>
      <c r="D54" s="43"/>
      <c r="E54" s="39"/>
      <c r="F54" s="365"/>
      <c r="G54" s="46"/>
      <c r="H54" s="367"/>
      <c r="I54" s="46"/>
      <c r="J54" s="88">
        <f t="shared" si="2"/>
        <v>0</v>
      </c>
      <c r="K54" s="371"/>
      <c r="L54" s="46"/>
      <c r="M54" s="41"/>
      <c r="N54" s="363"/>
      <c r="O54" s="43"/>
      <c r="P54" s="46"/>
      <c r="Q54" s="367"/>
      <c r="R54" s="46"/>
      <c r="S54" s="88">
        <f t="shared" si="5"/>
        <v>0</v>
      </c>
      <c r="T54" s="376"/>
      <c r="U54" s="46"/>
    </row>
    <row r="55" spans="1:21" x14ac:dyDescent="0.2">
      <c r="A55" s="8">
        <f t="shared" si="4"/>
        <v>45</v>
      </c>
      <c r="B55" s="933"/>
      <c r="C55" s="933"/>
      <c r="D55" s="43"/>
      <c r="E55" s="39"/>
      <c r="F55" s="365"/>
      <c r="G55" s="46"/>
      <c r="H55" s="367"/>
      <c r="I55" s="46"/>
      <c r="J55" s="88">
        <f t="shared" si="2"/>
        <v>0</v>
      </c>
      <c r="K55" s="371"/>
      <c r="L55" s="46"/>
      <c r="M55" s="41"/>
      <c r="N55" s="363"/>
      <c r="O55" s="43"/>
      <c r="P55" s="46"/>
      <c r="Q55" s="367"/>
      <c r="R55" s="46"/>
      <c r="S55" s="88">
        <f t="shared" si="5"/>
        <v>0</v>
      </c>
      <c r="T55" s="376"/>
      <c r="U55" s="46"/>
    </row>
    <row r="56" spans="1:21" x14ac:dyDescent="0.2">
      <c r="A56" s="8">
        <f t="shared" si="4"/>
        <v>46</v>
      </c>
      <c r="B56" s="933"/>
      <c r="C56" s="933"/>
      <c r="D56" s="43"/>
      <c r="E56" s="39"/>
      <c r="F56" s="365"/>
      <c r="G56" s="46"/>
      <c r="H56" s="367"/>
      <c r="I56" s="46"/>
      <c r="J56" s="88">
        <f t="shared" si="2"/>
        <v>0</v>
      </c>
      <c r="K56" s="371"/>
      <c r="L56" s="46"/>
      <c r="M56" s="41"/>
      <c r="N56" s="363"/>
      <c r="O56" s="43"/>
      <c r="P56" s="46"/>
      <c r="Q56" s="367"/>
      <c r="R56" s="46"/>
      <c r="S56" s="88">
        <f t="shared" si="5"/>
        <v>0</v>
      </c>
      <c r="T56" s="376"/>
      <c r="U56" s="46"/>
    </row>
    <row r="57" spans="1:21" x14ac:dyDescent="0.2">
      <c r="A57" s="8">
        <f t="shared" si="4"/>
        <v>47</v>
      </c>
      <c r="B57" s="933"/>
      <c r="C57" s="933"/>
      <c r="D57" s="43"/>
      <c r="E57" s="39"/>
      <c r="F57" s="365"/>
      <c r="G57" s="46"/>
      <c r="H57" s="367"/>
      <c r="I57" s="46"/>
      <c r="J57" s="88">
        <f t="shared" si="2"/>
        <v>0</v>
      </c>
      <c r="K57" s="371"/>
      <c r="L57" s="46"/>
      <c r="M57" s="41"/>
      <c r="N57" s="363"/>
      <c r="O57" s="43"/>
      <c r="P57" s="46"/>
      <c r="Q57" s="367"/>
      <c r="R57" s="46"/>
      <c r="S57" s="88">
        <f t="shared" si="5"/>
        <v>0</v>
      </c>
      <c r="T57" s="376"/>
      <c r="U57" s="46"/>
    </row>
    <row r="58" spans="1:21" x14ac:dyDescent="0.2">
      <c r="A58" s="8">
        <f t="shared" si="4"/>
        <v>48</v>
      </c>
      <c r="B58" s="933"/>
      <c r="C58" s="933"/>
      <c r="D58" s="43"/>
      <c r="E58" s="39"/>
      <c r="F58" s="365"/>
      <c r="G58" s="46"/>
      <c r="H58" s="367"/>
      <c r="I58" s="46"/>
      <c r="J58" s="88">
        <f t="shared" si="2"/>
        <v>0</v>
      </c>
      <c r="K58" s="371"/>
      <c r="L58" s="46"/>
      <c r="M58" s="41"/>
      <c r="N58" s="363"/>
      <c r="O58" s="43"/>
      <c r="P58" s="46"/>
      <c r="Q58" s="367"/>
      <c r="R58" s="46"/>
      <c r="S58" s="88">
        <f t="shared" si="5"/>
        <v>0</v>
      </c>
      <c r="T58" s="376"/>
      <c r="U58" s="46"/>
    </row>
    <row r="59" spans="1:21" x14ac:dyDescent="0.2">
      <c r="A59" s="8">
        <f t="shared" si="4"/>
        <v>49</v>
      </c>
      <c r="B59" s="933"/>
      <c r="C59" s="933"/>
      <c r="D59" s="43"/>
      <c r="E59" s="39"/>
      <c r="F59" s="365"/>
      <c r="G59" s="46"/>
      <c r="H59" s="367"/>
      <c r="I59" s="46"/>
      <c r="J59" s="88">
        <f t="shared" si="2"/>
        <v>0</v>
      </c>
      <c r="K59" s="371"/>
      <c r="L59" s="46"/>
      <c r="M59" s="41"/>
      <c r="N59" s="363"/>
      <c r="O59" s="43"/>
      <c r="P59" s="46"/>
      <c r="Q59" s="367"/>
      <c r="R59" s="46"/>
      <c r="S59" s="88">
        <f t="shared" si="5"/>
        <v>0</v>
      </c>
      <c r="T59" s="376"/>
      <c r="U59" s="46"/>
    </row>
    <row r="60" spans="1:21" x14ac:dyDescent="0.2">
      <c r="A60" s="8">
        <f t="shared" si="4"/>
        <v>50</v>
      </c>
      <c r="B60" s="933"/>
      <c r="C60" s="933"/>
      <c r="D60" s="43"/>
      <c r="E60" s="39"/>
      <c r="F60" s="365"/>
      <c r="G60" s="46"/>
      <c r="H60" s="367"/>
      <c r="I60" s="46"/>
      <c r="J60" s="88">
        <f t="shared" si="2"/>
        <v>0</v>
      </c>
      <c r="K60" s="371"/>
      <c r="L60" s="46"/>
      <c r="M60" s="41"/>
      <c r="N60" s="363"/>
      <c r="O60" s="43"/>
      <c r="P60" s="46"/>
      <c r="Q60" s="367"/>
      <c r="R60" s="46"/>
      <c r="S60" s="88">
        <f t="shared" si="5"/>
        <v>0</v>
      </c>
      <c r="T60" s="376"/>
      <c r="U60" s="46"/>
    </row>
    <row r="61" spans="1:21" x14ac:dyDescent="0.2">
      <c r="A61" s="8">
        <f t="shared" si="4"/>
        <v>51</v>
      </c>
      <c r="B61" s="933"/>
      <c r="C61" s="933"/>
      <c r="D61" s="43"/>
      <c r="E61" s="39"/>
      <c r="F61" s="365"/>
      <c r="G61" s="46"/>
      <c r="H61" s="367"/>
      <c r="I61" s="46"/>
      <c r="J61" s="88">
        <f t="shared" si="2"/>
        <v>0</v>
      </c>
      <c r="K61" s="371"/>
      <c r="L61" s="46"/>
      <c r="M61" s="41"/>
      <c r="N61" s="363"/>
      <c r="O61" s="43"/>
      <c r="P61" s="46"/>
      <c r="Q61" s="367"/>
      <c r="R61" s="46"/>
      <c r="S61" s="88">
        <f t="shared" si="5"/>
        <v>0</v>
      </c>
      <c r="T61" s="376"/>
      <c r="U61" s="46"/>
    </row>
    <row r="62" spans="1:21" x14ac:dyDescent="0.2">
      <c r="A62" s="8">
        <f t="shared" si="4"/>
        <v>52</v>
      </c>
      <c r="B62" s="933"/>
      <c r="C62" s="933"/>
      <c r="D62" s="43"/>
      <c r="E62" s="39"/>
      <c r="F62" s="365"/>
      <c r="G62" s="46"/>
      <c r="H62" s="367"/>
      <c r="I62" s="46"/>
      <c r="J62" s="88">
        <f t="shared" si="2"/>
        <v>0</v>
      </c>
      <c r="K62" s="371"/>
      <c r="L62" s="46"/>
      <c r="M62" s="41"/>
      <c r="N62" s="363"/>
      <c r="O62" s="43"/>
      <c r="P62" s="46"/>
      <c r="Q62" s="367"/>
      <c r="R62" s="46"/>
      <c r="S62" s="88">
        <f t="shared" si="5"/>
        <v>0</v>
      </c>
      <c r="T62" s="376"/>
      <c r="U62" s="46"/>
    </row>
    <row r="63" spans="1:21" x14ac:dyDescent="0.2">
      <c r="A63" s="8">
        <f t="shared" si="4"/>
        <v>53</v>
      </c>
      <c r="B63" s="933"/>
      <c r="C63" s="933"/>
      <c r="D63" s="43"/>
      <c r="E63" s="39"/>
      <c r="F63" s="365"/>
      <c r="G63" s="46"/>
      <c r="H63" s="367"/>
      <c r="I63" s="46"/>
      <c r="J63" s="88">
        <f t="shared" si="2"/>
        <v>0</v>
      </c>
      <c r="K63" s="371"/>
      <c r="L63" s="46"/>
      <c r="M63" s="41"/>
      <c r="N63" s="363"/>
      <c r="O63" s="43"/>
      <c r="P63" s="46"/>
      <c r="Q63" s="367"/>
      <c r="R63" s="46"/>
      <c r="S63" s="88">
        <f t="shared" si="5"/>
        <v>0</v>
      </c>
      <c r="T63" s="376"/>
      <c r="U63" s="46"/>
    </row>
    <row r="64" spans="1:21" x14ac:dyDescent="0.2">
      <c r="A64" s="8">
        <f t="shared" si="4"/>
        <v>54</v>
      </c>
      <c r="B64" s="933"/>
      <c r="C64" s="933"/>
      <c r="D64" s="43"/>
      <c r="E64" s="39"/>
      <c r="F64" s="365"/>
      <c r="G64" s="46"/>
      <c r="H64" s="367"/>
      <c r="I64" s="46"/>
      <c r="J64" s="88">
        <f t="shared" si="2"/>
        <v>0</v>
      </c>
      <c r="K64" s="371"/>
      <c r="L64" s="46"/>
      <c r="M64" s="41"/>
      <c r="N64" s="363"/>
      <c r="O64" s="43"/>
      <c r="P64" s="46"/>
      <c r="Q64" s="367"/>
      <c r="R64" s="46"/>
      <c r="S64" s="88">
        <f t="shared" si="5"/>
        <v>0</v>
      </c>
      <c r="T64" s="376"/>
      <c r="U64" s="46"/>
    </row>
    <row r="65" spans="1:21" x14ac:dyDescent="0.2">
      <c r="A65" s="8">
        <f t="shared" si="4"/>
        <v>55</v>
      </c>
      <c r="B65" s="933"/>
      <c r="C65" s="933"/>
      <c r="D65" s="43"/>
      <c r="E65" s="39"/>
      <c r="F65" s="365"/>
      <c r="G65" s="46"/>
      <c r="H65" s="367"/>
      <c r="I65" s="46"/>
      <c r="J65" s="88">
        <f t="shared" si="2"/>
        <v>0</v>
      </c>
      <c r="K65" s="371"/>
      <c r="L65" s="46"/>
      <c r="M65" s="41"/>
      <c r="N65" s="363"/>
      <c r="O65" s="43"/>
      <c r="P65" s="46"/>
      <c r="Q65" s="367"/>
      <c r="R65" s="46"/>
      <c r="S65" s="88">
        <f t="shared" si="5"/>
        <v>0</v>
      </c>
      <c r="T65" s="376"/>
      <c r="U65" s="46"/>
    </row>
    <row r="66" spans="1:21" x14ac:dyDescent="0.2">
      <c r="A66" s="8">
        <f t="shared" si="4"/>
        <v>56</v>
      </c>
      <c r="B66" s="933"/>
      <c r="C66" s="933"/>
      <c r="D66" s="43"/>
      <c r="E66" s="39"/>
      <c r="F66" s="365"/>
      <c r="G66" s="46"/>
      <c r="H66" s="367"/>
      <c r="I66" s="46"/>
      <c r="J66" s="88">
        <f t="shared" si="2"/>
        <v>0</v>
      </c>
      <c r="K66" s="371"/>
      <c r="L66" s="46"/>
      <c r="M66" s="41"/>
      <c r="N66" s="363"/>
      <c r="O66" s="43"/>
      <c r="P66" s="46"/>
      <c r="Q66" s="367"/>
      <c r="R66" s="46"/>
      <c r="S66" s="88">
        <f t="shared" si="5"/>
        <v>0</v>
      </c>
      <c r="T66" s="376"/>
      <c r="U66" s="46"/>
    </row>
    <row r="67" spans="1:21" x14ac:dyDescent="0.2">
      <c r="A67" s="8">
        <f t="shared" si="4"/>
        <v>57</v>
      </c>
      <c r="B67" s="933"/>
      <c r="C67" s="933"/>
      <c r="D67" s="43"/>
      <c r="E67" s="39"/>
      <c r="F67" s="365"/>
      <c r="G67" s="46"/>
      <c r="H67" s="367"/>
      <c r="I67" s="46"/>
      <c r="J67" s="88">
        <f t="shared" si="2"/>
        <v>0</v>
      </c>
      <c r="K67" s="371"/>
      <c r="L67" s="46"/>
      <c r="M67" s="41"/>
      <c r="N67" s="363"/>
      <c r="O67" s="43"/>
      <c r="P67" s="46"/>
      <c r="Q67" s="367"/>
      <c r="R67" s="46"/>
      <c r="S67" s="88">
        <f t="shared" si="5"/>
        <v>0</v>
      </c>
      <c r="T67" s="376"/>
      <c r="U67" s="46"/>
    </row>
    <row r="68" spans="1:21" x14ac:dyDescent="0.2">
      <c r="A68" s="8">
        <f t="shared" si="4"/>
        <v>58</v>
      </c>
      <c r="B68" s="933"/>
      <c r="C68" s="933"/>
      <c r="D68" s="43"/>
      <c r="E68" s="39"/>
      <c r="F68" s="365"/>
      <c r="G68" s="46"/>
      <c r="H68" s="367"/>
      <c r="I68" s="46"/>
      <c r="J68" s="88">
        <f t="shared" si="2"/>
        <v>0</v>
      </c>
      <c r="K68" s="371"/>
      <c r="L68" s="46"/>
      <c r="M68" s="41"/>
      <c r="N68" s="363"/>
      <c r="O68" s="43"/>
      <c r="P68" s="46"/>
      <c r="Q68" s="367"/>
      <c r="R68" s="46"/>
      <c r="S68" s="88">
        <f t="shared" si="5"/>
        <v>0</v>
      </c>
      <c r="T68" s="376"/>
      <c r="U68" s="46"/>
    </row>
    <row r="69" spans="1:21" x14ac:dyDescent="0.2">
      <c r="A69" s="8">
        <f t="shared" si="4"/>
        <v>59</v>
      </c>
      <c r="B69" s="933"/>
      <c r="C69" s="933"/>
      <c r="D69" s="43"/>
      <c r="E69" s="39"/>
      <c r="F69" s="365"/>
      <c r="G69" s="46"/>
      <c r="H69" s="367"/>
      <c r="I69" s="46"/>
      <c r="J69" s="88">
        <f t="shared" si="2"/>
        <v>0</v>
      </c>
      <c r="K69" s="371"/>
      <c r="L69" s="46"/>
      <c r="M69" s="41"/>
      <c r="N69" s="363"/>
      <c r="O69" s="43"/>
      <c r="P69" s="46"/>
      <c r="Q69" s="367"/>
      <c r="R69" s="46"/>
      <c r="S69" s="88">
        <f t="shared" si="5"/>
        <v>0</v>
      </c>
      <c r="T69" s="376"/>
      <c r="U69" s="46"/>
    </row>
    <row r="70" spans="1:21" x14ac:dyDescent="0.2">
      <c r="A70" s="8">
        <f t="shared" si="4"/>
        <v>60</v>
      </c>
      <c r="B70" s="933"/>
      <c r="C70" s="933"/>
      <c r="D70" s="43"/>
      <c r="E70" s="39"/>
      <c r="F70" s="365"/>
      <c r="G70" s="46"/>
      <c r="H70" s="367"/>
      <c r="I70" s="46"/>
      <c r="J70" s="88">
        <f t="shared" si="2"/>
        <v>0</v>
      </c>
      <c r="K70" s="371"/>
      <c r="L70" s="46"/>
      <c r="M70" s="41"/>
      <c r="N70" s="363"/>
      <c r="O70" s="43"/>
      <c r="P70" s="46"/>
      <c r="Q70" s="367"/>
      <c r="R70" s="46"/>
      <c r="S70" s="88">
        <f t="shared" si="5"/>
        <v>0</v>
      </c>
      <c r="T70" s="376"/>
      <c r="U70" s="46"/>
    </row>
    <row r="71" spans="1:21" x14ac:dyDescent="0.2">
      <c r="A71" s="8">
        <f t="shared" si="4"/>
        <v>61</v>
      </c>
      <c r="B71" s="933"/>
      <c r="C71" s="933"/>
      <c r="D71" s="43"/>
      <c r="E71" s="39"/>
      <c r="F71" s="365"/>
      <c r="G71" s="46"/>
      <c r="H71" s="367"/>
      <c r="I71" s="46"/>
      <c r="J71" s="88">
        <f t="shared" si="2"/>
        <v>0</v>
      </c>
      <c r="K71" s="371"/>
      <c r="L71" s="46"/>
      <c r="M71" s="41"/>
      <c r="N71" s="363"/>
      <c r="O71" s="43"/>
      <c r="P71" s="46"/>
      <c r="Q71" s="367"/>
      <c r="R71" s="46"/>
      <c r="S71" s="88">
        <f t="shared" si="5"/>
        <v>0</v>
      </c>
      <c r="T71" s="376"/>
      <c r="U71" s="46"/>
    </row>
    <row r="72" spans="1:21" x14ac:dyDescent="0.2">
      <c r="A72" s="8">
        <f t="shared" si="4"/>
        <v>62</v>
      </c>
      <c r="B72" s="933"/>
      <c r="C72" s="933"/>
      <c r="D72" s="43"/>
      <c r="E72" s="39"/>
      <c r="F72" s="365"/>
      <c r="G72" s="46"/>
      <c r="H72" s="367"/>
      <c r="I72" s="46"/>
      <c r="J72" s="88">
        <f t="shared" si="2"/>
        <v>0</v>
      </c>
      <c r="K72" s="371"/>
      <c r="L72" s="46"/>
      <c r="M72" s="41"/>
      <c r="N72" s="363"/>
      <c r="O72" s="43"/>
      <c r="P72" s="46"/>
      <c r="Q72" s="367"/>
      <c r="R72" s="46"/>
      <c r="S72" s="88">
        <f t="shared" si="5"/>
        <v>0</v>
      </c>
      <c r="T72" s="376"/>
      <c r="U72" s="46"/>
    </row>
    <row r="73" spans="1:21" x14ac:dyDescent="0.2">
      <c r="A73" s="8">
        <f t="shared" si="4"/>
        <v>63</v>
      </c>
      <c r="B73" s="933"/>
      <c r="C73" s="933"/>
      <c r="D73" s="43"/>
      <c r="E73" s="39"/>
      <c r="F73" s="365"/>
      <c r="G73" s="46"/>
      <c r="H73" s="367"/>
      <c r="I73" s="46"/>
      <c r="J73" s="88">
        <f t="shared" si="2"/>
        <v>0</v>
      </c>
      <c r="K73" s="371"/>
      <c r="L73" s="46"/>
      <c r="M73" s="41"/>
      <c r="N73" s="363"/>
      <c r="O73" s="43"/>
      <c r="P73" s="46"/>
      <c r="Q73" s="367"/>
      <c r="R73" s="46"/>
      <c r="S73" s="88">
        <f t="shared" si="5"/>
        <v>0</v>
      </c>
      <c r="T73" s="376"/>
      <c r="U73" s="46"/>
    </row>
    <row r="74" spans="1:21" x14ac:dyDescent="0.2">
      <c r="A74" s="8">
        <f t="shared" si="4"/>
        <v>64</v>
      </c>
      <c r="B74" s="933"/>
      <c r="C74" s="933"/>
      <c r="D74" s="43"/>
      <c r="E74" s="39"/>
      <c r="F74" s="365"/>
      <c r="G74" s="46"/>
      <c r="H74" s="367"/>
      <c r="I74" s="46"/>
      <c r="J74" s="88">
        <f t="shared" si="2"/>
        <v>0</v>
      </c>
      <c r="K74" s="371"/>
      <c r="L74" s="46"/>
      <c r="M74" s="41"/>
      <c r="N74" s="363"/>
      <c r="O74" s="43"/>
      <c r="P74" s="46"/>
      <c r="Q74" s="367"/>
      <c r="R74" s="46"/>
      <c r="S74" s="88">
        <f t="shared" si="5"/>
        <v>0</v>
      </c>
      <c r="T74" s="376"/>
      <c r="U74" s="46"/>
    </row>
    <row r="75" spans="1:21" x14ac:dyDescent="0.2">
      <c r="A75" s="8">
        <f t="shared" si="4"/>
        <v>65</v>
      </c>
      <c r="B75" s="933"/>
      <c r="C75" s="933"/>
      <c r="D75" s="43"/>
      <c r="E75" s="39"/>
      <c r="F75" s="365"/>
      <c r="G75" s="46"/>
      <c r="H75" s="367"/>
      <c r="I75" s="46"/>
      <c r="J75" s="88">
        <f t="shared" si="2"/>
        <v>0</v>
      </c>
      <c r="K75" s="371"/>
      <c r="L75" s="46"/>
      <c r="M75" s="41"/>
      <c r="N75" s="363"/>
      <c r="O75" s="43"/>
      <c r="P75" s="46"/>
      <c r="Q75" s="367"/>
      <c r="R75" s="46"/>
      <c r="S75" s="88">
        <f t="shared" si="5"/>
        <v>0</v>
      </c>
      <c r="T75" s="376"/>
      <c r="U75" s="46"/>
    </row>
    <row r="76" spans="1:21" x14ac:dyDescent="0.2">
      <c r="A76" s="8">
        <f t="shared" si="4"/>
        <v>66</v>
      </c>
      <c r="B76" s="933"/>
      <c r="C76" s="933"/>
      <c r="D76" s="43"/>
      <c r="E76" s="39"/>
      <c r="F76" s="365"/>
      <c r="G76" s="46"/>
      <c r="H76" s="367"/>
      <c r="I76" s="46"/>
      <c r="J76" s="88">
        <f t="shared" ref="J76:J139" si="6">IF(H76&gt;0,0,IF(G76&gt;0,"Enter Rent $",0))</f>
        <v>0</v>
      </c>
      <c r="K76" s="371"/>
      <c r="L76" s="46"/>
      <c r="M76" s="41"/>
      <c r="N76" s="363"/>
      <c r="O76" s="43"/>
      <c r="P76" s="46"/>
      <c r="Q76" s="367"/>
      <c r="R76" s="46"/>
      <c r="S76" s="88">
        <f t="shared" si="5"/>
        <v>0</v>
      </c>
      <c r="T76" s="376"/>
      <c r="U76" s="46"/>
    </row>
    <row r="77" spans="1:21" x14ac:dyDescent="0.2">
      <c r="A77" s="8">
        <f t="shared" ref="A77:A140" si="7">A76+1</f>
        <v>67</v>
      </c>
      <c r="B77" s="933"/>
      <c r="C77" s="933"/>
      <c r="D77" s="43"/>
      <c r="E77" s="39"/>
      <c r="F77" s="365"/>
      <c r="G77" s="46"/>
      <c r="H77" s="367"/>
      <c r="I77" s="46"/>
      <c r="J77" s="88">
        <f t="shared" si="6"/>
        <v>0</v>
      </c>
      <c r="K77" s="371"/>
      <c r="L77" s="46"/>
      <c r="M77" s="41"/>
      <c r="N77" s="363"/>
      <c r="O77" s="43"/>
      <c r="P77" s="46"/>
      <c r="Q77" s="367"/>
      <c r="R77" s="46"/>
      <c r="S77" s="88">
        <f t="shared" si="5"/>
        <v>0</v>
      </c>
      <c r="T77" s="376"/>
      <c r="U77" s="46"/>
    </row>
    <row r="78" spans="1:21" x14ac:dyDescent="0.2">
      <c r="A78" s="8">
        <f t="shared" si="7"/>
        <v>68</v>
      </c>
      <c r="B78" s="933"/>
      <c r="C78" s="933"/>
      <c r="D78" s="43"/>
      <c r="E78" s="39"/>
      <c r="F78" s="365"/>
      <c r="G78" s="46"/>
      <c r="H78" s="367"/>
      <c r="I78" s="46"/>
      <c r="J78" s="88">
        <f t="shared" si="6"/>
        <v>0</v>
      </c>
      <c r="K78" s="371"/>
      <c r="L78" s="46"/>
      <c r="M78" s="41"/>
      <c r="N78" s="363"/>
      <c r="O78" s="43"/>
      <c r="P78" s="46"/>
      <c r="Q78" s="367"/>
      <c r="R78" s="46"/>
      <c r="S78" s="88">
        <f t="shared" ref="S78:S141" si="8">IF(Q78&gt;0,0,IF(P78&gt;0,"Enter Rent $",0))</f>
        <v>0</v>
      </c>
      <c r="T78" s="376"/>
      <c r="U78" s="46"/>
    </row>
    <row r="79" spans="1:21" x14ac:dyDescent="0.2">
      <c r="A79" s="8">
        <f t="shared" si="7"/>
        <v>69</v>
      </c>
      <c r="B79" s="933"/>
      <c r="C79" s="933"/>
      <c r="D79" s="43"/>
      <c r="E79" s="39"/>
      <c r="F79" s="365"/>
      <c r="G79" s="46"/>
      <c r="H79" s="367"/>
      <c r="I79" s="46"/>
      <c r="J79" s="88">
        <f t="shared" si="6"/>
        <v>0</v>
      </c>
      <c r="K79" s="371"/>
      <c r="L79" s="46"/>
      <c r="M79" s="41"/>
      <c r="N79" s="363"/>
      <c r="O79" s="43"/>
      <c r="P79" s="46"/>
      <c r="Q79" s="367"/>
      <c r="R79" s="46"/>
      <c r="S79" s="88">
        <f t="shared" si="8"/>
        <v>0</v>
      </c>
      <c r="T79" s="376"/>
      <c r="U79" s="46"/>
    </row>
    <row r="80" spans="1:21" x14ac:dyDescent="0.2">
      <c r="A80" s="8">
        <f t="shared" si="7"/>
        <v>70</v>
      </c>
      <c r="B80" s="933"/>
      <c r="C80" s="933"/>
      <c r="D80" s="43"/>
      <c r="E80" s="39"/>
      <c r="F80" s="365"/>
      <c r="G80" s="46"/>
      <c r="H80" s="367"/>
      <c r="I80" s="46"/>
      <c r="J80" s="88">
        <f t="shared" si="6"/>
        <v>0</v>
      </c>
      <c r="K80" s="371"/>
      <c r="L80" s="46"/>
      <c r="M80" s="41"/>
      <c r="N80" s="363"/>
      <c r="O80" s="43"/>
      <c r="P80" s="46"/>
      <c r="Q80" s="367"/>
      <c r="R80" s="46"/>
      <c r="S80" s="88">
        <f t="shared" si="8"/>
        <v>0</v>
      </c>
      <c r="T80" s="376"/>
      <c r="U80" s="46"/>
    </row>
    <row r="81" spans="1:21" x14ac:dyDescent="0.2">
      <c r="A81" s="8">
        <f t="shared" si="7"/>
        <v>71</v>
      </c>
      <c r="B81" s="933"/>
      <c r="C81" s="933"/>
      <c r="D81" s="43"/>
      <c r="E81" s="39"/>
      <c r="F81" s="365"/>
      <c r="G81" s="46"/>
      <c r="H81" s="367"/>
      <c r="I81" s="46"/>
      <c r="J81" s="88">
        <f t="shared" si="6"/>
        <v>0</v>
      </c>
      <c r="K81" s="371"/>
      <c r="L81" s="46"/>
      <c r="M81" s="41"/>
      <c r="N81" s="363"/>
      <c r="O81" s="43"/>
      <c r="P81" s="46"/>
      <c r="Q81" s="367"/>
      <c r="R81" s="46"/>
      <c r="S81" s="88">
        <f t="shared" si="8"/>
        <v>0</v>
      </c>
      <c r="T81" s="376"/>
      <c r="U81" s="46"/>
    </row>
    <row r="82" spans="1:21" x14ac:dyDescent="0.2">
      <c r="A82" s="8">
        <f t="shared" si="7"/>
        <v>72</v>
      </c>
      <c r="B82" s="933"/>
      <c r="C82" s="933"/>
      <c r="D82" s="43"/>
      <c r="E82" s="39"/>
      <c r="F82" s="365"/>
      <c r="G82" s="46"/>
      <c r="H82" s="367"/>
      <c r="I82" s="46"/>
      <c r="J82" s="88">
        <f t="shared" si="6"/>
        <v>0</v>
      </c>
      <c r="K82" s="371"/>
      <c r="L82" s="46"/>
      <c r="M82" s="41"/>
      <c r="N82" s="363"/>
      <c r="O82" s="43"/>
      <c r="P82" s="46"/>
      <c r="Q82" s="367"/>
      <c r="R82" s="46"/>
      <c r="S82" s="88">
        <f t="shared" si="8"/>
        <v>0</v>
      </c>
      <c r="T82" s="376"/>
      <c r="U82" s="46"/>
    </row>
    <row r="83" spans="1:21" x14ac:dyDescent="0.2">
      <c r="A83" s="8">
        <f t="shared" si="7"/>
        <v>73</v>
      </c>
      <c r="B83" s="933"/>
      <c r="C83" s="933"/>
      <c r="D83" s="43"/>
      <c r="E83" s="39"/>
      <c r="F83" s="365"/>
      <c r="G83" s="46"/>
      <c r="H83" s="367"/>
      <c r="I83" s="46"/>
      <c r="J83" s="88">
        <f t="shared" si="6"/>
        <v>0</v>
      </c>
      <c r="K83" s="371"/>
      <c r="L83" s="46"/>
      <c r="M83" s="41"/>
      <c r="N83" s="363"/>
      <c r="O83" s="43"/>
      <c r="P83" s="46"/>
      <c r="Q83" s="367"/>
      <c r="R83" s="46"/>
      <c r="S83" s="88">
        <f t="shared" si="8"/>
        <v>0</v>
      </c>
      <c r="T83" s="376"/>
      <c r="U83" s="46"/>
    </row>
    <row r="84" spans="1:21" x14ac:dyDescent="0.2">
      <c r="A84" s="8">
        <f t="shared" si="7"/>
        <v>74</v>
      </c>
      <c r="B84" s="933"/>
      <c r="C84" s="933"/>
      <c r="D84" s="43"/>
      <c r="E84" s="39"/>
      <c r="F84" s="365"/>
      <c r="G84" s="46"/>
      <c r="H84" s="367"/>
      <c r="I84" s="46"/>
      <c r="J84" s="88">
        <f t="shared" si="6"/>
        <v>0</v>
      </c>
      <c r="K84" s="371"/>
      <c r="L84" s="46"/>
      <c r="M84" s="41"/>
      <c r="N84" s="363"/>
      <c r="O84" s="43"/>
      <c r="P84" s="46"/>
      <c r="Q84" s="367"/>
      <c r="R84" s="46"/>
      <c r="S84" s="88">
        <f t="shared" si="8"/>
        <v>0</v>
      </c>
      <c r="T84" s="376"/>
      <c r="U84" s="46"/>
    </row>
    <row r="85" spans="1:21" x14ac:dyDescent="0.2">
      <c r="A85" s="8">
        <f t="shared" si="7"/>
        <v>75</v>
      </c>
      <c r="B85" s="933"/>
      <c r="C85" s="933"/>
      <c r="D85" s="43"/>
      <c r="E85" s="39"/>
      <c r="F85" s="365"/>
      <c r="G85" s="46"/>
      <c r="H85" s="367"/>
      <c r="I85" s="46"/>
      <c r="J85" s="88">
        <f t="shared" si="6"/>
        <v>0</v>
      </c>
      <c r="K85" s="371"/>
      <c r="L85" s="46"/>
      <c r="M85" s="41"/>
      <c r="N85" s="363"/>
      <c r="O85" s="43"/>
      <c r="P85" s="46"/>
      <c r="Q85" s="367"/>
      <c r="R85" s="46"/>
      <c r="S85" s="88">
        <f t="shared" si="8"/>
        <v>0</v>
      </c>
      <c r="T85" s="376"/>
      <c r="U85" s="46"/>
    </row>
    <row r="86" spans="1:21" x14ac:dyDescent="0.2">
      <c r="A86" s="8">
        <f t="shared" si="7"/>
        <v>76</v>
      </c>
      <c r="B86" s="933"/>
      <c r="C86" s="933"/>
      <c r="D86" s="43"/>
      <c r="E86" s="39"/>
      <c r="F86" s="365"/>
      <c r="G86" s="46"/>
      <c r="H86" s="367"/>
      <c r="I86" s="46"/>
      <c r="J86" s="88">
        <f t="shared" si="6"/>
        <v>0</v>
      </c>
      <c r="K86" s="371"/>
      <c r="L86" s="46"/>
      <c r="M86" s="41"/>
      <c r="N86" s="363"/>
      <c r="O86" s="43"/>
      <c r="P86" s="46"/>
      <c r="Q86" s="367"/>
      <c r="R86" s="46"/>
      <c r="S86" s="88">
        <f t="shared" si="8"/>
        <v>0</v>
      </c>
      <c r="T86" s="376"/>
      <c r="U86" s="46"/>
    </row>
    <row r="87" spans="1:21" x14ac:dyDescent="0.2">
      <c r="A87" s="8">
        <f t="shared" si="7"/>
        <v>77</v>
      </c>
      <c r="B87" s="933"/>
      <c r="C87" s="933"/>
      <c r="D87" s="43"/>
      <c r="E87" s="39"/>
      <c r="F87" s="365"/>
      <c r="G87" s="46"/>
      <c r="H87" s="367"/>
      <c r="I87" s="46"/>
      <c r="J87" s="88">
        <f t="shared" si="6"/>
        <v>0</v>
      </c>
      <c r="K87" s="371"/>
      <c r="L87" s="46"/>
      <c r="M87" s="41"/>
      <c r="N87" s="363"/>
      <c r="O87" s="43"/>
      <c r="P87" s="46"/>
      <c r="Q87" s="367"/>
      <c r="R87" s="46"/>
      <c r="S87" s="88">
        <f t="shared" si="8"/>
        <v>0</v>
      </c>
      <c r="T87" s="376"/>
      <c r="U87" s="46"/>
    </row>
    <row r="88" spans="1:21" x14ac:dyDescent="0.2">
      <c r="A88" s="8">
        <f t="shared" si="7"/>
        <v>78</v>
      </c>
      <c r="B88" s="933"/>
      <c r="C88" s="933"/>
      <c r="D88" s="43"/>
      <c r="E88" s="39"/>
      <c r="F88" s="365"/>
      <c r="G88" s="46"/>
      <c r="H88" s="367"/>
      <c r="I88" s="46"/>
      <c r="J88" s="88">
        <f t="shared" si="6"/>
        <v>0</v>
      </c>
      <c r="K88" s="371"/>
      <c r="L88" s="46"/>
      <c r="M88" s="41"/>
      <c r="N88" s="363"/>
      <c r="O88" s="43"/>
      <c r="P88" s="46"/>
      <c r="Q88" s="367"/>
      <c r="R88" s="46"/>
      <c r="S88" s="88">
        <f t="shared" si="8"/>
        <v>0</v>
      </c>
      <c r="T88" s="376"/>
      <c r="U88" s="46"/>
    </row>
    <row r="89" spans="1:21" x14ac:dyDescent="0.2">
      <c r="A89" s="8">
        <f t="shared" si="7"/>
        <v>79</v>
      </c>
      <c r="B89" s="933"/>
      <c r="C89" s="933"/>
      <c r="D89" s="43"/>
      <c r="E89" s="39"/>
      <c r="F89" s="365"/>
      <c r="G89" s="46"/>
      <c r="H89" s="367"/>
      <c r="I89" s="46"/>
      <c r="J89" s="88">
        <f t="shared" si="6"/>
        <v>0</v>
      </c>
      <c r="K89" s="371"/>
      <c r="L89" s="46"/>
      <c r="M89" s="41"/>
      <c r="N89" s="363"/>
      <c r="O89" s="43"/>
      <c r="P89" s="46"/>
      <c r="Q89" s="367"/>
      <c r="R89" s="46"/>
      <c r="S89" s="88">
        <f t="shared" si="8"/>
        <v>0</v>
      </c>
      <c r="T89" s="376"/>
      <c r="U89" s="46"/>
    </row>
    <row r="90" spans="1:21" x14ac:dyDescent="0.2">
      <c r="A90" s="8">
        <f t="shared" si="7"/>
        <v>80</v>
      </c>
      <c r="B90" s="933"/>
      <c r="C90" s="933"/>
      <c r="D90" s="43"/>
      <c r="E90" s="39"/>
      <c r="F90" s="365"/>
      <c r="G90" s="46"/>
      <c r="H90" s="367"/>
      <c r="I90" s="46"/>
      <c r="J90" s="88">
        <f t="shared" si="6"/>
        <v>0</v>
      </c>
      <c r="K90" s="371"/>
      <c r="L90" s="46"/>
      <c r="M90" s="41"/>
      <c r="N90" s="363"/>
      <c r="O90" s="43"/>
      <c r="P90" s="46"/>
      <c r="Q90" s="367"/>
      <c r="R90" s="46"/>
      <c r="S90" s="88">
        <f t="shared" si="8"/>
        <v>0</v>
      </c>
      <c r="T90" s="376"/>
      <c r="U90" s="46"/>
    </row>
    <row r="91" spans="1:21" x14ac:dyDescent="0.2">
      <c r="A91" s="8">
        <f t="shared" si="7"/>
        <v>81</v>
      </c>
      <c r="B91" s="933"/>
      <c r="C91" s="933"/>
      <c r="D91" s="43"/>
      <c r="E91" s="39"/>
      <c r="F91" s="365"/>
      <c r="G91" s="46"/>
      <c r="H91" s="367"/>
      <c r="I91" s="46"/>
      <c r="J91" s="88">
        <f t="shared" si="6"/>
        <v>0</v>
      </c>
      <c r="K91" s="371"/>
      <c r="L91" s="46"/>
      <c r="M91" s="41"/>
      <c r="N91" s="363"/>
      <c r="O91" s="43"/>
      <c r="P91" s="46"/>
      <c r="Q91" s="367"/>
      <c r="R91" s="46"/>
      <c r="S91" s="88">
        <f t="shared" si="8"/>
        <v>0</v>
      </c>
      <c r="T91" s="376"/>
      <c r="U91" s="46"/>
    </row>
    <row r="92" spans="1:21" x14ac:dyDescent="0.2">
      <c r="A92" s="8">
        <f t="shared" si="7"/>
        <v>82</v>
      </c>
      <c r="B92" s="933"/>
      <c r="C92" s="933"/>
      <c r="D92" s="43"/>
      <c r="E92" s="39"/>
      <c r="F92" s="365"/>
      <c r="G92" s="46"/>
      <c r="H92" s="367"/>
      <c r="I92" s="46"/>
      <c r="J92" s="88">
        <f t="shared" si="6"/>
        <v>0</v>
      </c>
      <c r="K92" s="371"/>
      <c r="L92" s="46"/>
      <c r="M92" s="41"/>
      <c r="N92" s="363"/>
      <c r="O92" s="43"/>
      <c r="P92" s="46"/>
      <c r="Q92" s="367"/>
      <c r="R92" s="46"/>
      <c r="S92" s="88">
        <f t="shared" si="8"/>
        <v>0</v>
      </c>
      <c r="T92" s="376"/>
      <c r="U92" s="46"/>
    </row>
    <row r="93" spans="1:21" x14ac:dyDescent="0.2">
      <c r="A93" s="8">
        <f t="shared" si="7"/>
        <v>83</v>
      </c>
      <c r="B93" s="933"/>
      <c r="C93" s="933"/>
      <c r="D93" s="43"/>
      <c r="E93" s="39"/>
      <c r="F93" s="365"/>
      <c r="G93" s="46"/>
      <c r="H93" s="367"/>
      <c r="I93" s="46"/>
      <c r="J93" s="88">
        <f t="shared" si="6"/>
        <v>0</v>
      </c>
      <c r="K93" s="371"/>
      <c r="L93" s="46"/>
      <c r="M93" s="41"/>
      <c r="N93" s="363"/>
      <c r="O93" s="43"/>
      <c r="P93" s="46"/>
      <c r="Q93" s="367"/>
      <c r="R93" s="46"/>
      <c r="S93" s="88">
        <f t="shared" si="8"/>
        <v>0</v>
      </c>
      <c r="T93" s="376"/>
      <c r="U93" s="46"/>
    </row>
    <row r="94" spans="1:21" x14ac:dyDescent="0.2">
      <c r="A94" s="8">
        <f t="shared" si="7"/>
        <v>84</v>
      </c>
      <c r="B94" s="933"/>
      <c r="C94" s="933"/>
      <c r="D94" s="43"/>
      <c r="E94" s="39"/>
      <c r="F94" s="365"/>
      <c r="G94" s="46"/>
      <c r="H94" s="367"/>
      <c r="I94" s="46"/>
      <c r="J94" s="88">
        <f t="shared" si="6"/>
        <v>0</v>
      </c>
      <c r="K94" s="371"/>
      <c r="L94" s="46"/>
      <c r="M94" s="41"/>
      <c r="N94" s="363"/>
      <c r="O94" s="43"/>
      <c r="P94" s="46"/>
      <c r="Q94" s="367"/>
      <c r="R94" s="46"/>
      <c r="S94" s="88">
        <f t="shared" si="8"/>
        <v>0</v>
      </c>
      <c r="T94" s="376"/>
      <c r="U94" s="46"/>
    </row>
    <row r="95" spans="1:21" x14ac:dyDescent="0.2">
      <c r="A95" s="8">
        <f t="shared" si="7"/>
        <v>85</v>
      </c>
      <c r="B95" s="933"/>
      <c r="C95" s="933"/>
      <c r="D95" s="43"/>
      <c r="E95" s="39"/>
      <c r="F95" s="365"/>
      <c r="G95" s="46"/>
      <c r="H95" s="367"/>
      <c r="I95" s="46"/>
      <c r="J95" s="88">
        <f t="shared" si="6"/>
        <v>0</v>
      </c>
      <c r="K95" s="371"/>
      <c r="L95" s="46"/>
      <c r="M95" s="41"/>
      <c r="N95" s="363"/>
      <c r="O95" s="43"/>
      <c r="P95" s="46"/>
      <c r="Q95" s="367"/>
      <c r="R95" s="46"/>
      <c r="S95" s="88">
        <f t="shared" si="8"/>
        <v>0</v>
      </c>
      <c r="T95" s="376"/>
      <c r="U95" s="46"/>
    </row>
    <row r="96" spans="1:21" x14ac:dyDescent="0.2">
      <c r="A96" s="8">
        <f t="shared" si="7"/>
        <v>86</v>
      </c>
      <c r="B96" s="933"/>
      <c r="C96" s="933"/>
      <c r="D96" s="43"/>
      <c r="E96" s="39"/>
      <c r="F96" s="365"/>
      <c r="G96" s="46"/>
      <c r="H96" s="367"/>
      <c r="I96" s="46"/>
      <c r="J96" s="88">
        <f t="shared" si="6"/>
        <v>0</v>
      </c>
      <c r="K96" s="371"/>
      <c r="L96" s="46"/>
      <c r="M96" s="41"/>
      <c r="N96" s="363"/>
      <c r="O96" s="43"/>
      <c r="P96" s="46"/>
      <c r="Q96" s="367"/>
      <c r="R96" s="46"/>
      <c r="S96" s="88">
        <f t="shared" si="8"/>
        <v>0</v>
      </c>
      <c r="T96" s="376"/>
      <c r="U96" s="46"/>
    </row>
    <row r="97" spans="1:21" x14ac:dyDescent="0.2">
      <c r="A97" s="8">
        <f t="shared" si="7"/>
        <v>87</v>
      </c>
      <c r="B97" s="933"/>
      <c r="C97" s="933"/>
      <c r="D97" s="43"/>
      <c r="E97" s="39"/>
      <c r="F97" s="365"/>
      <c r="G97" s="46"/>
      <c r="H97" s="367"/>
      <c r="I97" s="46"/>
      <c r="J97" s="88">
        <f t="shared" si="6"/>
        <v>0</v>
      </c>
      <c r="K97" s="371"/>
      <c r="L97" s="46"/>
      <c r="M97" s="41"/>
      <c r="N97" s="363"/>
      <c r="O97" s="43"/>
      <c r="P97" s="46"/>
      <c r="Q97" s="367"/>
      <c r="R97" s="46"/>
      <c r="S97" s="88">
        <f t="shared" si="8"/>
        <v>0</v>
      </c>
      <c r="T97" s="376"/>
      <c r="U97" s="46"/>
    </row>
    <row r="98" spans="1:21" x14ac:dyDescent="0.2">
      <c r="A98" s="8">
        <f t="shared" si="7"/>
        <v>88</v>
      </c>
      <c r="B98" s="933"/>
      <c r="C98" s="933"/>
      <c r="D98" s="43"/>
      <c r="E98" s="39"/>
      <c r="F98" s="365"/>
      <c r="G98" s="46"/>
      <c r="H98" s="367"/>
      <c r="I98" s="46"/>
      <c r="J98" s="88">
        <f t="shared" si="6"/>
        <v>0</v>
      </c>
      <c r="K98" s="371"/>
      <c r="L98" s="46"/>
      <c r="M98" s="41"/>
      <c r="N98" s="363"/>
      <c r="O98" s="43"/>
      <c r="P98" s="46"/>
      <c r="Q98" s="367"/>
      <c r="R98" s="46"/>
      <c r="S98" s="88">
        <f t="shared" si="8"/>
        <v>0</v>
      </c>
      <c r="T98" s="376"/>
      <c r="U98" s="46"/>
    </row>
    <row r="99" spans="1:21" x14ac:dyDescent="0.2">
      <c r="A99" s="8">
        <f t="shared" si="7"/>
        <v>89</v>
      </c>
      <c r="B99" s="933"/>
      <c r="C99" s="933"/>
      <c r="D99" s="43"/>
      <c r="E99" s="39"/>
      <c r="F99" s="365"/>
      <c r="G99" s="46"/>
      <c r="H99" s="367"/>
      <c r="I99" s="46"/>
      <c r="J99" s="88">
        <f t="shared" si="6"/>
        <v>0</v>
      </c>
      <c r="K99" s="371"/>
      <c r="L99" s="46"/>
      <c r="M99" s="41"/>
      <c r="N99" s="363"/>
      <c r="O99" s="43"/>
      <c r="P99" s="46"/>
      <c r="Q99" s="367"/>
      <c r="R99" s="46"/>
      <c r="S99" s="88">
        <f t="shared" si="8"/>
        <v>0</v>
      </c>
      <c r="T99" s="376"/>
      <c r="U99" s="46"/>
    </row>
    <row r="100" spans="1:21" x14ac:dyDescent="0.2">
      <c r="A100" s="8">
        <f t="shared" si="7"/>
        <v>90</v>
      </c>
      <c r="B100" s="933"/>
      <c r="C100" s="933"/>
      <c r="D100" s="43"/>
      <c r="E100" s="39"/>
      <c r="F100" s="365"/>
      <c r="G100" s="46"/>
      <c r="H100" s="367"/>
      <c r="I100" s="46"/>
      <c r="J100" s="88">
        <f t="shared" si="6"/>
        <v>0</v>
      </c>
      <c r="K100" s="371"/>
      <c r="L100" s="46"/>
      <c r="M100" s="41"/>
      <c r="N100" s="363"/>
      <c r="O100" s="43"/>
      <c r="P100" s="46"/>
      <c r="Q100" s="367"/>
      <c r="R100" s="46"/>
      <c r="S100" s="88">
        <f t="shared" si="8"/>
        <v>0</v>
      </c>
      <c r="T100" s="376"/>
      <c r="U100" s="46"/>
    </row>
    <row r="101" spans="1:21" x14ac:dyDescent="0.2">
      <c r="A101" s="8">
        <f t="shared" si="7"/>
        <v>91</v>
      </c>
      <c r="B101" s="933"/>
      <c r="C101" s="933"/>
      <c r="D101" s="43"/>
      <c r="E101" s="39"/>
      <c r="F101" s="365"/>
      <c r="G101" s="46"/>
      <c r="H101" s="367"/>
      <c r="I101" s="46"/>
      <c r="J101" s="88">
        <f t="shared" si="6"/>
        <v>0</v>
      </c>
      <c r="K101" s="371"/>
      <c r="L101" s="46"/>
      <c r="M101" s="41"/>
      <c r="N101" s="363"/>
      <c r="O101" s="43"/>
      <c r="P101" s="46"/>
      <c r="Q101" s="367"/>
      <c r="R101" s="46"/>
      <c r="S101" s="88">
        <f t="shared" si="8"/>
        <v>0</v>
      </c>
      <c r="T101" s="376"/>
      <c r="U101" s="46"/>
    </row>
    <row r="102" spans="1:21" x14ac:dyDescent="0.2">
      <c r="A102" s="8">
        <f t="shared" si="7"/>
        <v>92</v>
      </c>
      <c r="B102" s="933"/>
      <c r="C102" s="933"/>
      <c r="D102" s="43"/>
      <c r="E102" s="39"/>
      <c r="F102" s="365"/>
      <c r="G102" s="46"/>
      <c r="H102" s="367"/>
      <c r="I102" s="46"/>
      <c r="J102" s="88">
        <f t="shared" si="6"/>
        <v>0</v>
      </c>
      <c r="K102" s="371"/>
      <c r="L102" s="46"/>
      <c r="M102" s="41"/>
      <c r="N102" s="363"/>
      <c r="O102" s="43"/>
      <c r="P102" s="46"/>
      <c r="Q102" s="367"/>
      <c r="R102" s="46"/>
      <c r="S102" s="88">
        <f t="shared" si="8"/>
        <v>0</v>
      </c>
      <c r="T102" s="376"/>
      <c r="U102" s="46"/>
    </row>
    <row r="103" spans="1:21" x14ac:dyDescent="0.2">
      <c r="A103" s="8">
        <f t="shared" si="7"/>
        <v>93</v>
      </c>
      <c r="B103" s="933"/>
      <c r="C103" s="933"/>
      <c r="D103" s="43"/>
      <c r="E103" s="39"/>
      <c r="F103" s="365"/>
      <c r="G103" s="46"/>
      <c r="H103" s="367"/>
      <c r="I103" s="46"/>
      <c r="J103" s="88">
        <f t="shared" si="6"/>
        <v>0</v>
      </c>
      <c r="K103" s="371"/>
      <c r="L103" s="46"/>
      <c r="M103" s="41"/>
      <c r="N103" s="363"/>
      <c r="O103" s="43"/>
      <c r="P103" s="46"/>
      <c r="Q103" s="367"/>
      <c r="R103" s="46"/>
      <c r="S103" s="88">
        <f t="shared" si="8"/>
        <v>0</v>
      </c>
      <c r="T103" s="376"/>
      <c r="U103" s="46"/>
    </row>
    <row r="104" spans="1:21" x14ac:dyDescent="0.2">
      <c r="A104" s="8">
        <f t="shared" si="7"/>
        <v>94</v>
      </c>
      <c r="B104" s="933"/>
      <c r="C104" s="933"/>
      <c r="D104" s="43"/>
      <c r="E104" s="39"/>
      <c r="F104" s="365"/>
      <c r="G104" s="46"/>
      <c r="H104" s="367"/>
      <c r="I104" s="46"/>
      <c r="J104" s="88">
        <f t="shared" si="6"/>
        <v>0</v>
      </c>
      <c r="K104" s="371"/>
      <c r="L104" s="46"/>
      <c r="M104" s="41"/>
      <c r="N104" s="363"/>
      <c r="O104" s="43"/>
      <c r="P104" s="46"/>
      <c r="Q104" s="367"/>
      <c r="R104" s="46"/>
      <c r="S104" s="88">
        <f t="shared" si="8"/>
        <v>0</v>
      </c>
      <c r="T104" s="376"/>
      <c r="U104" s="46"/>
    </row>
    <row r="105" spans="1:21" x14ac:dyDescent="0.2">
      <c r="A105" s="8">
        <f t="shared" si="7"/>
        <v>95</v>
      </c>
      <c r="B105" s="933"/>
      <c r="C105" s="933"/>
      <c r="D105" s="43"/>
      <c r="E105" s="39"/>
      <c r="F105" s="365"/>
      <c r="G105" s="46"/>
      <c r="H105" s="367"/>
      <c r="I105" s="46"/>
      <c r="J105" s="88">
        <f t="shared" si="6"/>
        <v>0</v>
      </c>
      <c r="K105" s="371"/>
      <c r="L105" s="46"/>
      <c r="M105" s="41"/>
      <c r="N105" s="363"/>
      <c r="O105" s="43"/>
      <c r="P105" s="46"/>
      <c r="Q105" s="367"/>
      <c r="R105" s="46"/>
      <c r="S105" s="88">
        <f t="shared" si="8"/>
        <v>0</v>
      </c>
      <c r="T105" s="376"/>
      <c r="U105" s="46"/>
    </row>
    <row r="106" spans="1:21" x14ac:dyDescent="0.2">
      <c r="A106" s="8">
        <f t="shared" si="7"/>
        <v>96</v>
      </c>
      <c r="B106" s="933"/>
      <c r="C106" s="933"/>
      <c r="D106" s="43"/>
      <c r="E106" s="39"/>
      <c r="F106" s="365"/>
      <c r="G106" s="46"/>
      <c r="H106" s="367"/>
      <c r="I106" s="46"/>
      <c r="J106" s="88">
        <f t="shared" si="6"/>
        <v>0</v>
      </c>
      <c r="K106" s="371"/>
      <c r="L106" s="46"/>
      <c r="M106" s="41"/>
      <c r="N106" s="363"/>
      <c r="O106" s="43"/>
      <c r="P106" s="46"/>
      <c r="Q106" s="367"/>
      <c r="R106" s="46"/>
      <c r="S106" s="88">
        <f t="shared" si="8"/>
        <v>0</v>
      </c>
      <c r="T106" s="376"/>
      <c r="U106" s="46"/>
    </row>
    <row r="107" spans="1:21" x14ac:dyDescent="0.2">
      <c r="A107" s="8">
        <f t="shared" si="7"/>
        <v>97</v>
      </c>
      <c r="B107" s="933"/>
      <c r="C107" s="933"/>
      <c r="D107" s="43"/>
      <c r="E107" s="39"/>
      <c r="F107" s="365"/>
      <c r="G107" s="46"/>
      <c r="H107" s="367"/>
      <c r="I107" s="46"/>
      <c r="J107" s="88">
        <f t="shared" si="6"/>
        <v>0</v>
      </c>
      <c r="K107" s="371"/>
      <c r="L107" s="46"/>
      <c r="M107" s="41"/>
      <c r="N107" s="363"/>
      <c r="O107" s="43"/>
      <c r="P107" s="46"/>
      <c r="Q107" s="367"/>
      <c r="R107" s="46"/>
      <c r="S107" s="88">
        <f t="shared" si="8"/>
        <v>0</v>
      </c>
      <c r="T107" s="376"/>
      <c r="U107" s="46"/>
    </row>
    <row r="108" spans="1:21" x14ac:dyDescent="0.2">
      <c r="A108" s="8">
        <f t="shared" si="7"/>
        <v>98</v>
      </c>
      <c r="B108" s="933"/>
      <c r="C108" s="933"/>
      <c r="D108" s="43"/>
      <c r="E108" s="39"/>
      <c r="F108" s="365"/>
      <c r="G108" s="46"/>
      <c r="H108" s="367"/>
      <c r="I108" s="46"/>
      <c r="J108" s="88">
        <f t="shared" si="6"/>
        <v>0</v>
      </c>
      <c r="K108" s="371"/>
      <c r="L108" s="46"/>
      <c r="M108" s="41"/>
      <c r="N108" s="363"/>
      <c r="O108" s="43"/>
      <c r="P108" s="46"/>
      <c r="Q108" s="367"/>
      <c r="R108" s="46"/>
      <c r="S108" s="88">
        <f t="shared" si="8"/>
        <v>0</v>
      </c>
      <c r="T108" s="376"/>
      <c r="U108" s="46"/>
    </row>
    <row r="109" spans="1:21" x14ac:dyDescent="0.2">
      <c r="A109" s="8">
        <f t="shared" si="7"/>
        <v>99</v>
      </c>
      <c r="B109" s="933"/>
      <c r="C109" s="933"/>
      <c r="D109" s="43"/>
      <c r="E109" s="39"/>
      <c r="F109" s="365"/>
      <c r="G109" s="46"/>
      <c r="H109" s="367"/>
      <c r="I109" s="46"/>
      <c r="J109" s="88">
        <f t="shared" si="6"/>
        <v>0</v>
      </c>
      <c r="K109" s="371"/>
      <c r="L109" s="46"/>
      <c r="M109" s="41"/>
      <c r="N109" s="363"/>
      <c r="O109" s="43"/>
      <c r="P109" s="46"/>
      <c r="Q109" s="367"/>
      <c r="R109" s="46"/>
      <c r="S109" s="88">
        <f t="shared" si="8"/>
        <v>0</v>
      </c>
      <c r="T109" s="376"/>
      <c r="U109" s="46"/>
    </row>
    <row r="110" spans="1:21" x14ac:dyDescent="0.2">
      <c r="A110" s="8">
        <f t="shared" si="7"/>
        <v>100</v>
      </c>
      <c r="B110" s="933"/>
      <c r="C110" s="933"/>
      <c r="D110" s="43"/>
      <c r="E110" s="39"/>
      <c r="F110" s="365"/>
      <c r="G110" s="46"/>
      <c r="H110" s="367"/>
      <c r="I110" s="46"/>
      <c r="J110" s="88">
        <f t="shared" si="6"/>
        <v>0</v>
      </c>
      <c r="K110" s="371"/>
      <c r="L110" s="46"/>
      <c r="M110" s="41"/>
      <c r="N110" s="363"/>
      <c r="O110" s="43"/>
      <c r="P110" s="46"/>
      <c r="Q110" s="367"/>
      <c r="R110" s="46"/>
      <c r="S110" s="88">
        <f t="shared" si="8"/>
        <v>0</v>
      </c>
      <c r="T110" s="376"/>
      <c r="U110" s="46"/>
    </row>
    <row r="111" spans="1:21" x14ac:dyDescent="0.2">
      <c r="A111" s="8">
        <f t="shared" si="7"/>
        <v>101</v>
      </c>
      <c r="B111" s="933"/>
      <c r="C111" s="933"/>
      <c r="D111" s="43"/>
      <c r="E111" s="39"/>
      <c r="F111" s="365"/>
      <c r="G111" s="46"/>
      <c r="H111" s="367"/>
      <c r="I111" s="46"/>
      <c r="J111" s="88">
        <f t="shared" si="6"/>
        <v>0</v>
      </c>
      <c r="K111" s="371"/>
      <c r="L111" s="46"/>
      <c r="M111" s="41"/>
      <c r="N111" s="363"/>
      <c r="O111" s="43"/>
      <c r="P111" s="46"/>
      <c r="Q111" s="367"/>
      <c r="R111" s="46"/>
      <c r="S111" s="88">
        <f t="shared" si="8"/>
        <v>0</v>
      </c>
      <c r="T111" s="376"/>
      <c r="U111" s="46"/>
    </row>
    <row r="112" spans="1:21" x14ac:dyDescent="0.2">
      <c r="A112" s="8">
        <f t="shared" si="7"/>
        <v>102</v>
      </c>
      <c r="B112" s="933"/>
      <c r="C112" s="933"/>
      <c r="D112" s="43"/>
      <c r="E112" s="39"/>
      <c r="F112" s="365"/>
      <c r="G112" s="46"/>
      <c r="H112" s="367"/>
      <c r="I112" s="46"/>
      <c r="J112" s="88">
        <f t="shared" si="6"/>
        <v>0</v>
      </c>
      <c r="K112" s="371"/>
      <c r="L112" s="46"/>
      <c r="M112" s="41"/>
      <c r="N112" s="363"/>
      <c r="O112" s="43"/>
      <c r="P112" s="46"/>
      <c r="Q112" s="367"/>
      <c r="R112" s="46"/>
      <c r="S112" s="88">
        <f t="shared" si="8"/>
        <v>0</v>
      </c>
      <c r="T112" s="376"/>
      <c r="U112" s="46"/>
    </row>
    <row r="113" spans="1:21" x14ac:dyDescent="0.2">
      <c r="A113" s="8">
        <f t="shared" si="7"/>
        <v>103</v>
      </c>
      <c r="B113" s="933"/>
      <c r="C113" s="933"/>
      <c r="D113" s="43"/>
      <c r="E113" s="39"/>
      <c r="F113" s="365"/>
      <c r="G113" s="46"/>
      <c r="H113" s="367"/>
      <c r="I113" s="46"/>
      <c r="J113" s="88">
        <f t="shared" si="6"/>
        <v>0</v>
      </c>
      <c r="K113" s="371"/>
      <c r="L113" s="46"/>
      <c r="M113" s="41"/>
      <c r="N113" s="363"/>
      <c r="O113" s="43"/>
      <c r="P113" s="46"/>
      <c r="Q113" s="367"/>
      <c r="R113" s="46"/>
      <c r="S113" s="88">
        <f t="shared" si="8"/>
        <v>0</v>
      </c>
      <c r="T113" s="376"/>
      <c r="U113" s="46"/>
    </row>
    <row r="114" spans="1:21" x14ac:dyDescent="0.2">
      <c r="A114" s="8">
        <f t="shared" si="7"/>
        <v>104</v>
      </c>
      <c r="B114" s="933"/>
      <c r="C114" s="933"/>
      <c r="D114" s="43"/>
      <c r="E114" s="39"/>
      <c r="F114" s="365"/>
      <c r="G114" s="46"/>
      <c r="H114" s="367"/>
      <c r="I114" s="46"/>
      <c r="J114" s="88">
        <f t="shared" si="6"/>
        <v>0</v>
      </c>
      <c r="K114" s="371"/>
      <c r="L114" s="46"/>
      <c r="M114" s="41"/>
      <c r="N114" s="363"/>
      <c r="O114" s="43"/>
      <c r="P114" s="46"/>
      <c r="Q114" s="367"/>
      <c r="R114" s="46"/>
      <c r="S114" s="88">
        <f t="shared" si="8"/>
        <v>0</v>
      </c>
      <c r="T114" s="376"/>
      <c r="U114" s="46"/>
    </row>
    <row r="115" spans="1:21" x14ac:dyDescent="0.2">
      <c r="A115" s="8">
        <f t="shared" si="7"/>
        <v>105</v>
      </c>
      <c r="B115" s="933"/>
      <c r="C115" s="933"/>
      <c r="D115" s="43"/>
      <c r="E115" s="39"/>
      <c r="F115" s="365"/>
      <c r="G115" s="46"/>
      <c r="H115" s="367"/>
      <c r="I115" s="46"/>
      <c r="J115" s="88">
        <f t="shared" si="6"/>
        <v>0</v>
      </c>
      <c r="K115" s="371"/>
      <c r="L115" s="46"/>
      <c r="M115" s="41"/>
      <c r="N115" s="363"/>
      <c r="O115" s="43"/>
      <c r="P115" s="46"/>
      <c r="Q115" s="367"/>
      <c r="R115" s="46"/>
      <c r="S115" s="88">
        <f t="shared" si="8"/>
        <v>0</v>
      </c>
      <c r="T115" s="376"/>
      <c r="U115" s="46"/>
    </row>
    <row r="116" spans="1:21" x14ac:dyDescent="0.2">
      <c r="A116" s="8">
        <f t="shared" si="7"/>
        <v>106</v>
      </c>
      <c r="B116" s="933"/>
      <c r="C116" s="933"/>
      <c r="D116" s="43"/>
      <c r="E116" s="39"/>
      <c r="F116" s="365"/>
      <c r="G116" s="46"/>
      <c r="H116" s="367"/>
      <c r="I116" s="46"/>
      <c r="J116" s="88">
        <f t="shared" si="6"/>
        <v>0</v>
      </c>
      <c r="K116" s="371"/>
      <c r="L116" s="46"/>
      <c r="M116" s="41"/>
      <c r="N116" s="363"/>
      <c r="O116" s="43"/>
      <c r="P116" s="46"/>
      <c r="Q116" s="367"/>
      <c r="R116" s="46"/>
      <c r="S116" s="88">
        <f t="shared" si="8"/>
        <v>0</v>
      </c>
      <c r="T116" s="376"/>
      <c r="U116" s="46"/>
    </row>
    <row r="117" spans="1:21" x14ac:dyDescent="0.2">
      <c r="A117" s="8">
        <f t="shared" si="7"/>
        <v>107</v>
      </c>
      <c r="B117" s="933"/>
      <c r="C117" s="933"/>
      <c r="D117" s="43"/>
      <c r="E117" s="39"/>
      <c r="F117" s="365"/>
      <c r="G117" s="46"/>
      <c r="H117" s="367"/>
      <c r="I117" s="46"/>
      <c r="J117" s="88">
        <f t="shared" si="6"/>
        <v>0</v>
      </c>
      <c r="K117" s="371"/>
      <c r="L117" s="46"/>
      <c r="M117" s="41"/>
      <c r="N117" s="363"/>
      <c r="O117" s="43"/>
      <c r="P117" s="46"/>
      <c r="Q117" s="367"/>
      <c r="R117" s="46"/>
      <c r="S117" s="88">
        <f t="shared" si="8"/>
        <v>0</v>
      </c>
      <c r="T117" s="376"/>
      <c r="U117" s="46"/>
    </row>
    <row r="118" spans="1:21" x14ac:dyDescent="0.2">
      <c r="A118" s="8">
        <f t="shared" si="7"/>
        <v>108</v>
      </c>
      <c r="B118" s="933"/>
      <c r="C118" s="933"/>
      <c r="D118" s="43"/>
      <c r="E118" s="39"/>
      <c r="F118" s="365"/>
      <c r="G118" s="46"/>
      <c r="H118" s="367"/>
      <c r="I118" s="46"/>
      <c r="J118" s="88">
        <f t="shared" si="6"/>
        <v>0</v>
      </c>
      <c r="K118" s="371"/>
      <c r="L118" s="46"/>
      <c r="M118" s="41"/>
      <c r="N118" s="363"/>
      <c r="O118" s="43"/>
      <c r="P118" s="46"/>
      <c r="Q118" s="367"/>
      <c r="R118" s="46"/>
      <c r="S118" s="88">
        <f t="shared" si="8"/>
        <v>0</v>
      </c>
      <c r="T118" s="376"/>
      <c r="U118" s="46"/>
    </row>
    <row r="119" spans="1:21" x14ac:dyDescent="0.2">
      <c r="A119" s="8">
        <f t="shared" si="7"/>
        <v>109</v>
      </c>
      <c r="B119" s="933"/>
      <c r="C119" s="933"/>
      <c r="D119" s="43"/>
      <c r="E119" s="39"/>
      <c r="F119" s="365"/>
      <c r="G119" s="46"/>
      <c r="H119" s="367"/>
      <c r="I119" s="46"/>
      <c r="J119" s="88">
        <f t="shared" si="6"/>
        <v>0</v>
      </c>
      <c r="K119" s="371"/>
      <c r="L119" s="46"/>
      <c r="M119" s="41"/>
      <c r="N119" s="363"/>
      <c r="O119" s="43"/>
      <c r="P119" s="46"/>
      <c r="Q119" s="367"/>
      <c r="R119" s="46"/>
      <c r="S119" s="88">
        <f t="shared" si="8"/>
        <v>0</v>
      </c>
      <c r="T119" s="376"/>
      <c r="U119" s="46"/>
    </row>
    <row r="120" spans="1:21" x14ac:dyDescent="0.2">
      <c r="A120" s="8">
        <f t="shared" si="7"/>
        <v>110</v>
      </c>
      <c r="B120" s="933"/>
      <c r="C120" s="933"/>
      <c r="D120" s="43"/>
      <c r="E120" s="39"/>
      <c r="F120" s="365"/>
      <c r="G120" s="46"/>
      <c r="H120" s="367"/>
      <c r="I120" s="46"/>
      <c r="J120" s="88">
        <f t="shared" si="6"/>
        <v>0</v>
      </c>
      <c r="K120" s="371"/>
      <c r="L120" s="46"/>
      <c r="M120" s="41"/>
      <c r="N120" s="363"/>
      <c r="O120" s="43"/>
      <c r="P120" s="46"/>
      <c r="Q120" s="367"/>
      <c r="R120" s="46"/>
      <c r="S120" s="88">
        <f t="shared" si="8"/>
        <v>0</v>
      </c>
      <c r="T120" s="376"/>
      <c r="U120" s="46"/>
    </row>
    <row r="121" spans="1:21" x14ac:dyDescent="0.2">
      <c r="A121" s="8">
        <f t="shared" si="7"/>
        <v>111</v>
      </c>
      <c r="B121" s="933"/>
      <c r="C121" s="933"/>
      <c r="D121" s="43"/>
      <c r="E121" s="39"/>
      <c r="F121" s="365"/>
      <c r="G121" s="46"/>
      <c r="H121" s="367"/>
      <c r="I121" s="46"/>
      <c r="J121" s="88">
        <f t="shared" si="6"/>
        <v>0</v>
      </c>
      <c r="K121" s="371"/>
      <c r="L121" s="46"/>
      <c r="M121" s="41"/>
      <c r="N121" s="363"/>
      <c r="O121" s="43"/>
      <c r="P121" s="46"/>
      <c r="Q121" s="367"/>
      <c r="R121" s="46"/>
      <c r="S121" s="88">
        <f t="shared" si="8"/>
        <v>0</v>
      </c>
      <c r="T121" s="376"/>
      <c r="U121" s="46"/>
    </row>
    <row r="122" spans="1:21" x14ac:dyDescent="0.2">
      <c r="A122" s="8">
        <f t="shared" si="7"/>
        <v>112</v>
      </c>
      <c r="B122" s="933"/>
      <c r="C122" s="933"/>
      <c r="D122" s="43"/>
      <c r="E122" s="39"/>
      <c r="F122" s="365"/>
      <c r="G122" s="46"/>
      <c r="H122" s="367"/>
      <c r="I122" s="46"/>
      <c r="J122" s="88">
        <f t="shared" si="6"/>
        <v>0</v>
      </c>
      <c r="K122" s="371"/>
      <c r="L122" s="46"/>
      <c r="M122" s="41"/>
      <c r="N122" s="363"/>
      <c r="O122" s="43"/>
      <c r="P122" s="46"/>
      <c r="Q122" s="367"/>
      <c r="R122" s="46"/>
      <c r="S122" s="88">
        <f t="shared" si="8"/>
        <v>0</v>
      </c>
      <c r="T122" s="376"/>
      <c r="U122" s="46"/>
    </row>
    <row r="123" spans="1:21" x14ac:dyDescent="0.2">
      <c r="A123" s="8">
        <f t="shared" si="7"/>
        <v>113</v>
      </c>
      <c r="B123" s="933"/>
      <c r="C123" s="933"/>
      <c r="D123" s="43"/>
      <c r="E123" s="39"/>
      <c r="F123" s="365"/>
      <c r="G123" s="46"/>
      <c r="H123" s="367"/>
      <c r="I123" s="46"/>
      <c r="J123" s="88">
        <f t="shared" si="6"/>
        <v>0</v>
      </c>
      <c r="K123" s="371"/>
      <c r="L123" s="46"/>
      <c r="M123" s="41"/>
      <c r="N123" s="363"/>
      <c r="O123" s="43"/>
      <c r="P123" s="46"/>
      <c r="Q123" s="367"/>
      <c r="R123" s="46"/>
      <c r="S123" s="88">
        <f t="shared" si="8"/>
        <v>0</v>
      </c>
      <c r="T123" s="376"/>
      <c r="U123" s="46"/>
    </row>
    <row r="124" spans="1:21" x14ac:dyDescent="0.2">
      <c r="A124" s="8">
        <f t="shared" si="7"/>
        <v>114</v>
      </c>
      <c r="B124" s="933"/>
      <c r="C124" s="933"/>
      <c r="D124" s="43"/>
      <c r="E124" s="39"/>
      <c r="F124" s="365"/>
      <c r="G124" s="46"/>
      <c r="H124" s="367"/>
      <c r="I124" s="46"/>
      <c r="J124" s="88">
        <f t="shared" si="6"/>
        <v>0</v>
      </c>
      <c r="K124" s="371"/>
      <c r="L124" s="46"/>
      <c r="M124" s="41"/>
      <c r="N124" s="363"/>
      <c r="O124" s="43"/>
      <c r="P124" s="46"/>
      <c r="Q124" s="367"/>
      <c r="R124" s="46"/>
      <c r="S124" s="88">
        <f t="shared" si="8"/>
        <v>0</v>
      </c>
      <c r="T124" s="376"/>
      <c r="U124" s="46"/>
    </row>
    <row r="125" spans="1:21" x14ac:dyDescent="0.2">
      <c r="A125" s="8">
        <f t="shared" si="7"/>
        <v>115</v>
      </c>
      <c r="B125" s="933"/>
      <c r="C125" s="933"/>
      <c r="D125" s="43"/>
      <c r="E125" s="39"/>
      <c r="F125" s="365"/>
      <c r="G125" s="46"/>
      <c r="H125" s="367"/>
      <c r="I125" s="46"/>
      <c r="J125" s="88">
        <f t="shared" si="6"/>
        <v>0</v>
      </c>
      <c r="K125" s="371"/>
      <c r="L125" s="46"/>
      <c r="M125" s="41"/>
      <c r="N125" s="363"/>
      <c r="O125" s="43"/>
      <c r="P125" s="46"/>
      <c r="Q125" s="367"/>
      <c r="R125" s="46"/>
      <c r="S125" s="88">
        <f t="shared" si="8"/>
        <v>0</v>
      </c>
      <c r="T125" s="376"/>
      <c r="U125" s="46"/>
    </row>
    <row r="126" spans="1:21" x14ac:dyDescent="0.2">
      <c r="A126" s="8">
        <f t="shared" si="7"/>
        <v>116</v>
      </c>
      <c r="B126" s="933"/>
      <c r="C126" s="933"/>
      <c r="D126" s="43"/>
      <c r="E126" s="39"/>
      <c r="F126" s="365"/>
      <c r="G126" s="46"/>
      <c r="H126" s="367"/>
      <c r="I126" s="46"/>
      <c r="J126" s="88">
        <f t="shared" si="6"/>
        <v>0</v>
      </c>
      <c r="K126" s="371"/>
      <c r="L126" s="46"/>
      <c r="M126" s="41"/>
      <c r="N126" s="363"/>
      <c r="O126" s="43"/>
      <c r="P126" s="46"/>
      <c r="Q126" s="367"/>
      <c r="R126" s="46"/>
      <c r="S126" s="88">
        <f t="shared" si="8"/>
        <v>0</v>
      </c>
      <c r="T126" s="376"/>
      <c r="U126" s="46"/>
    </row>
    <row r="127" spans="1:21" x14ac:dyDescent="0.2">
      <c r="A127" s="8">
        <f t="shared" si="7"/>
        <v>117</v>
      </c>
      <c r="B127" s="933"/>
      <c r="C127" s="933"/>
      <c r="D127" s="43"/>
      <c r="E127" s="39"/>
      <c r="F127" s="365"/>
      <c r="G127" s="46"/>
      <c r="H127" s="367"/>
      <c r="I127" s="46"/>
      <c r="J127" s="88">
        <f t="shared" si="6"/>
        <v>0</v>
      </c>
      <c r="K127" s="371"/>
      <c r="L127" s="46"/>
      <c r="M127" s="41"/>
      <c r="N127" s="363"/>
      <c r="O127" s="43"/>
      <c r="P127" s="46"/>
      <c r="Q127" s="367"/>
      <c r="R127" s="46"/>
      <c r="S127" s="88">
        <f t="shared" si="8"/>
        <v>0</v>
      </c>
      <c r="T127" s="376"/>
      <c r="U127" s="46"/>
    </row>
    <row r="128" spans="1:21" x14ac:dyDescent="0.2">
      <c r="A128" s="8">
        <f t="shared" si="7"/>
        <v>118</v>
      </c>
      <c r="B128" s="933"/>
      <c r="C128" s="933"/>
      <c r="D128" s="43"/>
      <c r="E128" s="39"/>
      <c r="F128" s="365"/>
      <c r="G128" s="46"/>
      <c r="H128" s="367"/>
      <c r="I128" s="46"/>
      <c r="J128" s="88">
        <f t="shared" si="6"/>
        <v>0</v>
      </c>
      <c r="K128" s="371"/>
      <c r="L128" s="46"/>
      <c r="M128" s="41"/>
      <c r="N128" s="363"/>
      <c r="O128" s="43"/>
      <c r="P128" s="46"/>
      <c r="Q128" s="367"/>
      <c r="R128" s="46"/>
      <c r="S128" s="88">
        <f t="shared" si="8"/>
        <v>0</v>
      </c>
      <c r="T128" s="376"/>
      <c r="U128" s="46"/>
    </row>
    <row r="129" spans="1:21" x14ac:dyDescent="0.2">
      <c r="A129" s="8">
        <f t="shared" si="7"/>
        <v>119</v>
      </c>
      <c r="B129" s="933"/>
      <c r="C129" s="933"/>
      <c r="D129" s="43"/>
      <c r="E129" s="39"/>
      <c r="F129" s="365"/>
      <c r="G129" s="46"/>
      <c r="H129" s="367"/>
      <c r="I129" s="46"/>
      <c r="J129" s="88">
        <f t="shared" si="6"/>
        <v>0</v>
      </c>
      <c r="K129" s="371"/>
      <c r="L129" s="46"/>
      <c r="M129" s="41"/>
      <c r="N129" s="363"/>
      <c r="O129" s="43"/>
      <c r="P129" s="46"/>
      <c r="Q129" s="367"/>
      <c r="R129" s="46"/>
      <c r="S129" s="88">
        <f t="shared" si="8"/>
        <v>0</v>
      </c>
      <c r="T129" s="376"/>
      <c r="U129" s="46"/>
    </row>
    <row r="130" spans="1:21" x14ac:dyDescent="0.2">
      <c r="A130" s="8">
        <f t="shared" si="7"/>
        <v>120</v>
      </c>
      <c r="B130" s="933"/>
      <c r="C130" s="933"/>
      <c r="D130" s="43"/>
      <c r="E130" s="39"/>
      <c r="F130" s="365"/>
      <c r="G130" s="46"/>
      <c r="H130" s="367"/>
      <c r="I130" s="46"/>
      <c r="J130" s="88">
        <f t="shared" si="6"/>
        <v>0</v>
      </c>
      <c r="K130" s="371"/>
      <c r="L130" s="46"/>
      <c r="M130" s="41"/>
      <c r="N130" s="363"/>
      <c r="O130" s="43"/>
      <c r="P130" s="46"/>
      <c r="Q130" s="367"/>
      <c r="R130" s="46"/>
      <c r="S130" s="88">
        <f t="shared" si="8"/>
        <v>0</v>
      </c>
      <c r="T130" s="376"/>
      <c r="U130" s="46"/>
    </row>
    <row r="131" spans="1:21" x14ac:dyDescent="0.2">
      <c r="A131" s="8">
        <f t="shared" si="7"/>
        <v>121</v>
      </c>
      <c r="B131" s="933"/>
      <c r="C131" s="933"/>
      <c r="D131" s="43"/>
      <c r="E131" s="39"/>
      <c r="F131" s="365"/>
      <c r="G131" s="46"/>
      <c r="H131" s="367"/>
      <c r="I131" s="46"/>
      <c r="J131" s="88">
        <f t="shared" si="6"/>
        <v>0</v>
      </c>
      <c r="K131" s="371"/>
      <c r="L131" s="46"/>
      <c r="M131" s="41"/>
      <c r="N131" s="363"/>
      <c r="O131" s="43"/>
      <c r="P131" s="46"/>
      <c r="Q131" s="367"/>
      <c r="R131" s="46"/>
      <c r="S131" s="88">
        <f t="shared" si="8"/>
        <v>0</v>
      </c>
      <c r="T131" s="376"/>
      <c r="U131" s="46"/>
    </row>
    <row r="132" spans="1:21" x14ac:dyDescent="0.2">
      <c r="A132" s="8">
        <f t="shared" si="7"/>
        <v>122</v>
      </c>
      <c r="B132" s="933"/>
      <c r="C132" s="933"/>
      <c r="D132" s="43"/>
      <c r="E132" s="39"/>
      <c r="F132" s="365"/>
      <c r="G132" s="46"/>
      <c r="H132" s="367"/>
      <c r="I132" s="46"/>
      <c r="J132" s="88">
        <f t="shared" si="6"/>
        <v>0</v>
      </c>
      <c r="K132" s="371"/>
      <c r="L132" s="46"/>
      <c r="M132" s="41"/>
      <c r="N132" s="363"/>
      <c r="O132" s="43"/>
      <c r="P132" s="46"/>
      <c r="Q132" s="367"/>
      <c r="R132" s="46"/>
      <c r="S132" s="88">
        <f t="shared" si="8"/>
        <v>0</v>
      </c>
      <c r="T132" s="376"/>
      <c r="U132" s="46"/>
    </row>
    <row r="133" spans="1:21" x14ac:dyDescent="0.2">
      <c r="A133" s="8">
        <f t="shared" si="7"/>
        <v>123</v>
      </c>
      <c r="B133" s="933"/>
      <c r="C133" s="933"/>
      <c r="D133" s="43"/>
      <c r="E133" s="39"/>
      <c r="F133" s="365"/>
      <c r="G133" s="46"/>
      <c r="H133" s="367"/>
      <c r="I133" s="46"/>
      <c r="J133" s="88">
        <f t="shared" si="6"/>
        <v>0</v>
      </c>
      <c r="K133" s="371"/>
      <c r="L133" s="46"/>
      <c r="M133" s="41"/>
      <c r="N133" s="363"/>
      <c r="O133" s="43"/>
      <c r="P133" s="46"/>
      <c r="Q133" s="367"/>
      <c r="R133" s="46"/>
      <c r="S133" s="88">
        <f t="shared" si="8"/>
        <v>0</v>
      </c>
      <c r="T133" s="376"/>
      <c r="U133" s="46"/>
    </row>
    <row r="134" spans="1:21" x14ac:dyDescent="0.2">
      <c r="A134" s="8">
        <f t="shared" si="7"/>
        <v>124</v>
      </c>
      <c r="B134" s="933"/>
      <c r="C134" s="933"/>
      <c r="D134" s="43"/>
      <c r="E134" s="39"/>
      <c r="F134" s="365"/>
      <c r="G134" s="46"/>
      <c r="H134" s="367"/>
      <c r="I134" s="46"/>
      <c r="J134" s="88">
        <f t="shared" si="6"/>
        <v>0</v>
      </c>
      <c r="K134" s="371"/>
      <c r="L134" s="46"/>
      <c r="M134" s="41"/>
      <c r="N134" s="363"/>
      <c r="O134" s="43"/>
      <c r="P134" s="46"/>
      <c r="Q134" s="367"/>
      <c r="R134" s="46"/>
      <c r="S134" s="88">
        <f t="shared" si="8"/>
        <v>0</v>
      </c>
      <c r="T134" s="376"/>
      <c r="U134" s="46"/>
    </row>
    <row r="135" spans="1:21" x14ac:dyDescent="0.2">
      <c r="A135" s="8">
        <f t="shared" si="7"/>
        <v>125</v>
      </c>
      <c r="B135" s="933"/>
      <c r="C135" s="933"/>
      <c r="D135" s="43"/>
      <c r="E135" s="39"/>
      <c r="F135" s="365"/>
      <c r="G135" s="46"/>
      <c r="H135" s="367"/>
      <c r="I135" s="46"/>
      <c r="J135" s="88">
        <f t="shared" si="6"/>
        <v>0</v>
      </c>
      <c r="K135" s="371"/>
      <c r="L135" s="46"/>
      <c r="M135" s="41"/>
      <c r="N135" s="363"/>
      <c r="O135" s="43"/>
      <c r="P135" s="46"/>
      <c r="Q135" s="367"/>
      <c r="R135" s="46"/>
      <c r="S135" s="88">
        <f t="shared" si="8"/>
        <v>0</v>
      </c>
      <c r="T135" s="376"/>
      <c r="U135" s="46"/>
    </row>
    <row r="136" spans="1:21" x14ac:dyDescent="0.2">
      <c r="A136" s="8">
        <f t="shared" si="7"/>
        <v>126</v>
      </c>
      <c r="B136" s="933"/>
      <c r="C136" s="933"/>
      <c r="D136" s="43"/>
      <c r="E136" s="39"/>
      <c r="F136" s="365"/>
      <c r="G136" s="46"/>
      <c r="H136" s="367"/>
      <c r="I136" s="46"/>
      <c r="J136" s="88">
        <f t="shared" si="6"/>
        <v>0</v>
      </c>
      <c r="K136" s="371"/>
      <c r="L136" s="46"/>
      <c r="M136" s="41"/>
      <c r="N136" s="363"/>
      <c r="O136" s="43"/>
      <c r="P136" s="46"/>
      <c r="Q136" s="367"/>
      <c r="R136" s="46"/>
      <c r="S136" s="88">
        <f t="shared" si="8"/>
        <v>0</v>
      </c>
      <c r="T136" s="376"/>
      <c r="U136" s="46"/>
    </row>
    <row r="137" spans="1:21" x14ac:dyDescent="0.2">
      <c r="A137" s="8">
        <f t="shared" si="7"/>
        <v>127</v>
      </c>
      <c r="B137" s="933"/>
      <c r="C137" s="933"/>
      <c r="D137" s="43"/>
      <c r="E137" s="39"/>
      <c r="F137" s="365"/>
      <c r="G137" s="46"/>
      <c r="H137" s="367"/>
      <c r="I137" s="46"/>
      <c r="J137" s="88">
        <f t="shared" si="6"/>
        <v>0</v>
      </c>
      <c r="K137" s="371"/>
      <c r="L137" s="46"/>
      <c r="M137" s="41"/>
      <c r="N137" s="363"/>
      <c r="O137" s="43"/>
      <c r="P137" s="46"/>
      <c r="Q137" s="367"/>
      <c r="R137" s="46"/>
      <c r="S137" s="88">
        <f t="shared" si="8"/>
        <v>0</v>
      </c>
      <c r="T137" s="376"/>
      <c r="U137" s="46"/>
    </row>
    <row r="138" spans="1:21" x14ac:dyDescent="0.2">
      <c r="A138" s="8">
        <f t="shared" si="7"/>
        <v>128</v>
      </c>
      <c r="B138" s="933"/>
      <c r="C138" s="933"/>
      <c r="D138" s="43"/>
      <c r="E138" s="39"/>
      <c r="F138" s="365"/>
      <c r="G138" s="46"/>
      <c r="H138" s="367"/>
      <c r="I138" s="46"/>
      <c r="J138" s="88">
        <f t="shared" si="6"/>
        <v>0</v>
      </c>
      <c r="K138" s="371"/>
      <c r="L138" s="46"/>
      <c r="M138" s="41"/>
      <c r="N138" s="363"/>
      <c r="O138" s="43"/>
      <c r="P138" s="46"/>
      <c r="Q138" s="367"/>
      <c r="R138" s="46"/>
      <c r="S138" s="88">
        <f t="shared" si="8"/>
        <v>0</v>
      </c>
      <c r="T138" s="376"/>
      <c r="U138" s="46"/>
    </row>
    <row r="139" spans="1:21" x14ac:dyDescent="0.2">
      <c r="A139" s="8">
        <f t="shared" si="7"/>
        <v>129</v>
      </c>
      <c r="B139" s="933"/>
      <c r="C139" s="933"/>
      <c r="D139" s="43"/>
      <c r="E139" s="39"/>
      <c r="F139" s="365"/>
      <c r="G139" s="46"/>
      <c r="H139" s="367"/>
      <c r="I139" s="46"/>
      <c r="J139" s="88">
        <f t="shared" si="6"/>
        <v>0</v>
      </c>
      <c r="K139" s="371"/>
      <c r="L139" s="46"/>
      <c r="M139" s="41"/>
      <c r="N139" s="363"/>
      <c r="O139" s="43"/>
      <c r="P139" s="46"/>
      <c r="Q139" s="367"/>
      <c r="R139" s="46"/>
      <c r="S139" s="88">
        <f t="shared" si="8"/>
        <v>0</v>
      </c>
      <c r="T139" s="376"/>
      <c r="U139" s="46"/>
    </row>
    <row r="140" spans="1:21" x14ac:dyDescent="0.2">
      <c r="A140" s="8">
        <f t="shared" si="7"/>
        <v>130</v>
      </c>
      <c r="B140" s="933"/>
      <c r="C140" s="933"/>
      <c r="D140" s="43"/>
      <c r="E140" s="39"/>
      <c r="F140" s="365"/>
      <c r="G140" s="46"/>
      <c r="H140" s="367"/>
      <c r="I140" s="46"/>
      <c r="J140" s="88">
        <f t="shared" ref="J140:J203" si="9">IF(H140&gt;0,0,IF(G140&gt;0,"Enter Rent $",0))</f>
        <v>0</v>
      </c>
      <c r="K140" s="371"/>
      <c r="L140" s="46"/>
      <c r="M140" s="41"/>
      <c r="N140" s="363"/>
      <c r="O140" s="43"/>
      <c r="P140" s="46"/>
      <c r="Q140" s="367"/>
      <c r="R140" s="46"/>
      <c r="S140" s="88">
        <f t="shared" si="8"/>
        <v>0</v>
      </c>
      <c r="T140" s="376"/>
      <c r="U140" s="46"/>
    </row>
    <row r="141" spans="1:21" x14ac:dyDescent="0.2">
      <c r="A141" s="8">
        <f t="shared" ref="A141:A204" si="10">A140+1</f>
        <v>131</v>
      </c>
      <c r="B141" s="933"/>
      <c r="C141" s="933"/>
      <c r="D141" s="43"/>
      <c r="E141" s="39"/>
      <c r="F141" s="365"/>
      <c r="G141" s="46"/>
      <c r="H141" s="367"/>
      <c r="I141" s="46"/>
      <c r="J141" s="88">
        <f t="shared" si="9"/>
        <v>0</v>
      </c>
      <c r="K141" s="371"/>
      <c r="L141" s="46"/>
      <c r="M141" s="41"/>
      <c r="N141" s="363"/>
      <c r="O141" s="43"/>
      <c r="P141" s="46"/>
      <c r="Q141" s="367"/>
      <c r="R141" s="46"/>
      <c r="S141" s="88">
        <f t="shared" si="8"/>
        <v>0</v>
      </c>
      <c r="T141" s="376"/>
      <c r="U141" s="46"/>
    </row>
    <row r="142" spans="1:21" x14ac:dyDescent="0.2">
      <c r="A142" s="8">
        <f t="shared" si="10"/>
        <v>132</v>
      </c>
      <c r="B142" s="933"/>
      <c r="C142" s="933"/>
      <c r="D142" s="43"/>
      <c r="E142" s="39"/>
      <c r="F142" s="365"/>
      <c r="G142" s="46"/>
      <c r="H142" s="367"/>
      <c r="I142" s="46"/>
      <c r="J142" s="88">
        <f t="shared" si="9"/>
        <v>0</v>
      </c>
      <c r="K142" s="371"/>
      <c r="L142" s="46"/>
      <c r="M142" s="41"/>
      <c r="N142" s="363"/>
      <c r="O142" s="43"/>
      <c r="P142" s="46"/>
      <c r="Q142" s="367"/>
      <c r="R142" s="46"/>
      <c r="S142" s="88">
        <f t="shared" ref="S142:S205" si="11">IF(Q142&gt;0,0,IF(P142&gt;0,"Enter Rent $",0))</f>
        <v>0</v>
      </c>
      <c r="T142" s="376"/>
      <c r="U142" s="46"/>
    </row>
    <row r="143" spans="1:21" x14ac:dyDescent="0.2">
      <c r="A143" s="8">
        <f t="shared" si="10"/>
        <v>133</v>
      </c>
      <c r="B143" s="933"/>
      <c r="C143" s="933"/>
      <c r="D143" s="43"/>
      <c r="E143" s="39"/>
      <c r="F143" s="365"/>
      <c r="G143" s="46"/>
      <c r="H143" s="367"/>
      <c r="I143" s="46"/>
      <c r="J143" s="88">
        <f t="shared" si="9"/>
        <v>0</v>
      </c>
      <c r="K143" s="371"/>
      <c r="L143" s="46"/>
      <c r="M143" s="41"/>
      <c r="N143" s="363"/>
      <c r="O143" s="43"/>
      <c r="P143" s="46"/>
      <c r="Q143" s="367"/>
      <c r="R143" s="46"/>
      <c r="S143" s="88">
        <f t="shared" si="11"/>
        <v>0</v>
      </c>
      <c r="T143" s="376"/>
      <c r="U143" s="46"/>
    </row>
    <row r="144" spans="1:21" x14ac:dyDescent="0.2">
      <c r="A144" s="8">
        <f t="shared" si="10"/>
        <v>134</v>
      </c>
      <c r="B144" s="933"/>
      <c r="C144" s="933"/>
      <c r="D144" s="43"/>
      <c r="E144" s="39"/>
      <c r="F144" s="365"/>
      <c r="G144" s="46"/>
      <c r="H144" s="367"/>
      <c r="I144" s="46"/>
      <c r="J144" s="88">
        <f t="shared" si="9"/>
        <v>0</v>
      </c>
      <c r="K144" s="371"/>
      <c r="L144" s="46"/>
      <c r="M144" s="41"/>
      <c r="N144" s="363"/>
      <c r="O144" s="43"/>
      <c r="P144" s="46"/>
      <c r="Q144" s="367"/>
      <c r="R144" s="46"/>
      <c r="S144" s="88">
        <f t="shared" si="11"/>
        <v>0</v>
      </c>
      <c r="T144" s="376"/>
      <c r="U144" s="46"/>
    </row>
    <row r="145" spans="1:21" x14ac:dyDescent="0.2">
      <c r="A145" s="8">
        <f t="shared" si="10"/>
        <v>135</v>
      </c>
      <c r="B145" s="933"/>
      <c r="C145" s="933"/>
      <c r="D145" s="43"/>
      <c r="E145" s="39"/>
      <c r="F145" s="365"/>
      <c r="G145" s="46"/>
      <c r="H145" s="367"/>
      <c r="I145" s="46"/>
      <c r="J145" s="88">
        <f t="shared" si="9"/>
        <v>0</v>
      </c>
      <c r="K145" s="371"/>
      <c r="L145" s="46"/>
      <c r="M145" s="41"/>
      <c r="N145" s="363"/>
      <c r="O145" s="43"/>
      <c r="P145" s="46"/>
      <c r="Q145" s="367"/>
      <c r="R145" s="46"/>
      <c r="S145" s="88">
        <f t="shared" si="11"/>
        <v>0</v>
      </c>
      <c r="T145" s="376"/>
      <c r="U145" s="46"/>
    </row>
    <row r="146" spans="1:21" x14ac:dyDescent="0.2">
      <c r="A146" s="8">
        <f t="shared" si="10"/>
        <v>136</v>
      </c>
      <c r="B146" s="933"/>
      <c r="C146" s="933"/>
      <c r="D146" s="43"/>
      <c r="E146" s="39"/>
      <c r="F146" s="365"/>
      <c r="G146" s="46"/>
      <c r="H146" s="367"/>
      <c r="I146" s="46"/>
      <c r="J146" s="88">
        <f t="shared" si="9"/>
        <v>0</v>
      </c>
      <c r="K146" s="371"/>
      <c r="L146" s="46"/>
      <c r="M146" s="41"/>
      <c r="N146" s="363"/>
      <c r="O146" s="43"/>
      <c r="P146" s="46"/>
      <c r="Q146" s="367"/>
      <c r="R146" s="46"/>
      <c r="S146" s="88">
        <f t="shared" si="11"/>
        <v>0</v>
      </c>
      <c r="T146" s="376"/>
      <c r="U146" s="46"/>
    </row>
    <row r="147" spans="1:21" x14ac:dyDescent="0.2">
      <c r="A147" s="8">
        <f t="shared" si="10"/>
        <v>137</v>
      </c>
      <c r="B147" s="933"/>
      <c r="C147" s="933"/>
      <c r="D147" s="43"/>
      <c r="E147" s="39"/>
      <c r="F147" s="365"/>
      <c r="G147" s="46"/>
      <c r="H147" s="367"/>
      <c r="I147" s="46"/>
      <c r="J147" s="88">
        <f t="shared" si="9"/>
        <v>0</v>
      </c>
      <c r="K147" s="371"/>
      <c r="L147" s="46"/>
      <c r="M147" s="41"/>
      <c r="N147" s="363"/>
      <c r="O147" s="43"/>
      <c r="P147" s="46"/>
      <c r="Q147" s="367"/>
      <c r="R147" s="46"/>
      <c r="S147" s="88">
        <f t="shared" si="11"/>
        <v>0</v>
      </c>
      <c r="T147" s="376"/>
      <c r="U147" s="46"/>
    </row>
    <row r="148" spans="1:21" x14ac:dyDescent="0.2">
      <c r="A148" s="8">
        <f t="shared" si="10"/>
        <v>138</v>
      </c>
      <c r="B148" s="933"/>
      <c r="C148" s="933"/>
      <c r="D148" s="43"/>
      <c r="E148" s="39"/>
      <c r="F148" s="365"/>
      <c r="G148" s="46"/>
      <c r="H148" s="367"/>
      <c r="I148" s="46"/>
      <c r="J148" s="88">
        <f t="shared" si="9"/>
        <v>0</v>
      </c>
      <c r="K148" s="371"/>
      <c r="L148" s="46"/>
      <c r="M148" s="41"/>
      <c r="N148" s="363"/>
      <c r="O148" s="43"/>
      <c r="P148" s="46"/>
      <c r="Q148" s="367"/>
      <c r="R148" s="46"/>
      <c r="S148" s="88">
        <f t="shared" si="11"/>
        <v>0</v>
      </c>
      <c r="T148" s="376"/>
      <c r="U148" s="46"/>
    </row>
    <row r="149" spans="1:21" x14ac:dyDescent="0.2">
      <c r="A149" s="8">
        <f t="shared" si="10"/>
        <v>139</v>
      </c>
      <c r="B149" s="933"/>
      <c r="C149" s="933"/>
      <c r="D149" s="43"/>
      <c r="E149" s="39"/>
      <c r="F149" s="365"/>
      <c r="G149" s="46"/>
      <c r="H149" s="367"/>
      <c r="I149" s="46"/>
      <c r="J149" s="88">
        <f t="shared" si="9"/>
        <v>0</v>
      </c>
      <c r="K149" s="371"/>
      <c r="L149" s="46"/>
      <c r="M149" s="41"/>
      <c r="N149" s="363"/>
      <c r="O149" s="43"/>
      <c r="P149" s="46"/>
      <c r="Q149" s="367"/>
      <c r="R149" s="46"/>
      <c r="S149" s="88">
        <f t="shared" si="11"/>
        <v>0</v>
      </c>
      <c r="T149" s="376"/>
      <c r="U149" s="46"/>
    </row>
    <row r="150" spans="1:21" x14ac:dyDescent="0.2">
      <c r="A150" s="8">
        <f t="shared" si="10"/>
        <v>140</v>
      </c>
      <c r="B150" s="933"/>
      <c r="C150" s="933"/>
      <c r="D150" s="43"/>
      <c r="E150" s="39"/>
      <c r="F150" s="365"/>
      <c r="G150" s="46"/>
      <c r="H150" s="367"/>
      <c r="I150" s="46"/>
      <c r="J150" s="88">
        <f t="shared" si="9"/>
        <v>0</v>
      </c>
      <c r="K150" s="371"/>
      <c r="L150" s="46"/>
      <c r="M150" s="41"/>
      <c r="N150" s="363"/>
      <c r="O150" s="43"/>
      <c r="P150" s="46"/>
      <c r="Q150" s="367"/>
      <c r="R150" s="46"/>
      <c r="S150" s="88">
        <f t="shared" si="11"/>
        <v>0</v>
      </c>
      <c r="T150" s="376"/>
      <c r="U150" s="46"/>
    </row>
    <row r="151" spans="1:21" x14ac:dyDescent="0.2">
      <c r="A151" s="8">
        <f t="shared" si="10"/>
        <v>141</v>
      </c>
      <c r="B151" s="933"/>
      <c r="C151" s="933"/>
      <c r="D151" s="43"/>
      <c r="E151" s="39"/>
      <c r="F151" s="365"/>
      <c r="G151" s="46"/>
      <c r="H151" s="367"/>
      <c r="I151" s="46"/>
      <c r="J151" s="88">
        <f t="shared" si="9"/>
        <v>0</v>
      </c>
      <c r="K151" s="371"/>
      <c r="L151" s="46"/>
      <c r="M151" s="41"/>
      <c r="N151" s="363"/>
      <c r="O151" s="43"/>
      <c r="P151" s="46"/>
      <c r="Q151" s="367"/>
      <c r="R151" s="46"/>
      <c r="S151" s="88">
        <f t="shared" si="11"/>
        <v>0</v>
      </c>
      <c r="T151" s="376"/>
      <c r="U151" s="46"/>
    </row>
    <row r="152" spans="1:21" x14ac:dyDescent="0.2">
      <c r="A152" s="8">
        <f t="shared" si="10"/>
        <v>142</v>
      </c>
      <c r="B152" s="933"/>
      <c r="C152" s="933"/>
      <c r="D152" s="43"/>
      <c r="E152" s="39"/>
      <c r="F152" s="365"/>
      <c r="G152" s="46"/>
      <c r="H152" s="367"/>
      <c r="I152" s="46"/>
      <c r="J152" s="88">
        <f t="shared" si="9"/>
        <v>0</v>
      </c>
      <c r="K152" s="371"/>
      <c r="L152" s="46"/>
      <c r="M152" s="41"/>
      <c r="N152" s="363"/>
      <c r="O152" s="43"/>
      <c r="P152" s="46"/>
      <c r="Q152" s="367"/>
      <c r="R152" s="46"/>
      <c r="S152" s="88">
        <f t="shared" si="11"/>
        <v>0</v>
      </c>
      <c r="T152" s="376"/>
      <c r="U152" s="46"/>
    </row>
    <row r="153" spans="1:21" x14ac:dyDescent="0.2">
      <c r="A153" s="8">
        <f t="shared" si="10"/>
        <v>143</v>
      </c>
      <c r="B153" s="933"/>
      <c r="C153" s="933"/>
      <c r="D153" s="43"/>
      <c r="E153" s="39"/>
      <c r="F153" s="365"/>
      <c r="G153" s="46"/>
      <c r="H153" s="367"/>
      <c r="I153" s="46"/>
      <c r="J153" s="88">
        <f t="shared" si="9"/>
        <v>0</v>
      </c>
      <c r="K153" s="371"/>
      <c r="L153" s="46"/>
      <c r="M153" s="41"/>
      <c r="N153" s="363"/>
      <c r="O153" s="43"/>
      <c r="P153" s="46"/>
      <c r="Q153" s="367"/>
      <c r="R153" s="46"/>
      <c r="S153" s="88">
        <f t="shared" si="11"/>
        <v>0</v>
      </c>
      <c r="T153" s="376"/>
      <c r="U153" s="46"/>
    </row>
    <row r="154" spans="1:21" x14ac:dyDescent="0.2">
      <c r="A154" s="8">
        <f t="shared" si="10"/>
        <v>144</v>
      </c>
      <c r="B154" s="933"/>
      <c r="C154" s="933"/>
      <c r="D154" s="43"/>
      <c r="E154" s="39"/>
      <c r="F154" s="365"/>
      <c r="G154" s="46"/>
      <c r="H154" s="367"/>
      <c r="I154" s="46"/>
      <c r="J154" s="88">
        <f t="shared" si="9"/>
        <v>0</v>
      </c>
      <c r="K154" s="371"/>
      <c r="L154" s="46"/>
      <c r="M154" s="41"/>
      <c r="N154" s="363"/>
      <c r="O154" s="43"/>
      <c r="P154" s="46"/>
      <c r="Q154" s="367"/>
      <c r="R154" s="46"/>
      <c r="S154" s="88">
        <f t="shared" si="11"/>
        <v>0</v>
      </c>
      <c r="T154" s="376"/>
      <c r="U154" s="46"/>
    </row>
    <row r="155" spans="1:21" x14ac:dyDescent="0.2">
      <c r="A155" s="8">
        <f t="shared" si="10"/>
        <v>145</v>
      </c>
      <c r="B155" s="933"/>
      <c r="C155" s="933"/>
      <c r="D155" s="43"/>
      <c r="E155" s="39"/>
      <c r="F155" s="365"/>
      <c r="G155" s="46"/>
      <c r="H155" s="367"/>
      <c r="I155" s="46"/>
      <c r="J155" s="88">
        <f t="shared" si="9"/>
        <v>0</v>
      </c>
      <c r="K155" s="371"/>
      <c r="L155" s="46"/>
      <c r="M155" s="41"/>
      <c r="N155" s="363"/>
      <c r="O155" s="43"/>
      <c r="P155" s="46"/>
      <c r="Q155" s="367"/>
      <c r="R155" s="46"/>
      <c r="S155" s="88">
        <f t="shared" si="11"/>
        <v>0</v>
      </c>
      <c r="T155" s="376"/>
      <c r="U155" s="46"/>
    </row>
    <row r="156" spans="1:21" x14ac:dyDescent="0.2">
      <c r="A156" s="8">
        <f t="shared" si="10"/>
        <v>146</v>
      </c>
      <c r="B156" s="933"/>
      <c r="C156" s="933"/>
      <c r="D156" s="43"/>
      <c r="E156" s="39"/>
      <c r="F156" s="365"/>
      <c r="G156" s="46"/>
      <c r="H156" s="367"/>
      <c r="I156" s="46"/>
      <c r="J156" s="88">
        <f t="shared" si="9"/>
        <v>0</v>
      </c>
      <c r="K156" s="371"/>
      <c r="L156" s="46"/>
      <c r="M156" s="41"/>
      <c r="N156" s="363"/>
      <c r="O156" s="43"/>
      <c r="P156" s="46"/>
      <c r="Q156" s="367"/>
      <c r="R156" s="46"/>
      <c r="S156" s="88">
        <f t="shared" si="11"/>
        <v>0</v>
      </c>
      <c r="T156" s="376"/>
      <c r="U156" s="46"/>
    </row>
    <row r="157" spans="1:21" x14ac:dyDescent="0.2">
      <c r="A157" s="8">
        <f t="shared" si="10"/>
        <v>147</v>
      </c>
      <c r="B157" s="933"/>
      <c r="C157" s="933"/>
      <c r="D157" s="43"/>
      <c r="E157" s="39"/>
      <c r="F157" s="365"/>
      <c r="G157" s="46"/>
      <c r="H157" s="367"/>
      <c r="I157" s="46"/>
      <c r="J157" s="88">
        <f t="shared" si="9"/>
        <v>0</v>
      </c>
      <c r="K157" s="371"/>
      <c r="L157" s="46"/>
      <c r="M157" s="41"/>
      <c r="N157" s="363"/>
      <c r="O157" s="43"/>
      <c r="P157" s="46"/>
      <c r="Q157" s="367"/>
      <c r="R157" s="46"/>
      <c r="S157" s="88">
        <f t="shared" si="11"/>
        <v>0</v>
      </c>
      <c r="T157" s="376"/>
      <c r="U157" s="46"/>
    </row>
    <row r="158" spans="1:21" x14ac:dyDescent="0.2">
      <c r="A158" s="8">
        <f t="shared" si="10"/>
        <v>148</v>
      </c>
      <c r="B158" s="933"/>
      <c r="C158" s="933"/>
      <c r="D158" s="43"/>
      <c r="E158" s="39"/>
      <c r="F158" s="365"/>
      <c r="G158" s="46"/>
      <c r="H158" s="367"/>
      <c r="I158" s="46"/>
      <c r="J158" s="88">
        <f t="shared" si="9"/>
        <v>0</v>
      </c>
      <c r="K158" s="371"/>
      <c r="L158" s="46"/>
      <c r="M158" s="41"/>
      <c r="N158" s="363"/>
      <c r="O158" s="43"/>
      <c r="P158" s="46"/>
      <c r="Q158" s="367"/>
      <c r="R158" s="46"/>
      <c r="S158" s="88">
        <f t="shared" si="11"/>
        <v>0</v>
      </c>
      <c r="T158" s="376"/>
      <c r="U158" s="46"/>
    </row>
    <row r="159" spans="1:21" x14ac:dyDescent="0.2">
      <c r="A159" s="8">
        <f t="shared" si="10"/>
        <v>149</v>
      </c>
      <c r="B159" s="933"/>
      <c r="C159" s="933"/>
      <c r="D159" s="43"/>
      <c r="E159" s="39"/>
      <c r="F159" s="365"/>
      <c r="G159" s="46"/>
      <c r="H159" s="367"/>
      <c r="I159" s="46"/>
      <c r="J159" s="88">
        <f t="shared" si="9"/>
        <v>0</v>
      </c>
      <c r="K159" s="371"/>
      <c r="L159" s="46"/>
      <c r="M159" s="41"/>
      <c r="N159" s="363"/>
      <c r="O159" s="43"/>
      <c r="P159" s="46"/>
      <c r="Q159" s="367"/>
      <c r="R159" s="46"/>
      <c r="S159" s="88">
        <f t="shared" si="11"/>
        <v>0</v>
      </c>
      <c r="T159" s="376"/>
      <c r="U159" s="46"/>
    </row>
    <row r="160" spans="1:21" x14ac:dyDescent="0.2">
      <c r="A160" s="8">
        <f t="shared" si="10"/>
        <v>150</v>
      </c>
      <c r="B160" s="933"/>
      <c r="C160" s="933"/>
      <c r="D160" s="43"/>
      <c r="E160" s="39"/>
      <c r="F160" s="365"/>
      <c r="G160" s="46"/>
      <c r="H160" s="367"/>
      <c r="I160" s="46"/>
      <c r="J160" s="88">
        <f t="shared" si="9"/>
        <v>0</v>
      </c>
      <c r="K160" s="371"/>
      <c r="L160" s="46"/>
      <c r="M160" s="41"/>
      <c r="N160" s="363"/>
      <c r="O160" s="43"/>
      <c r="P160" s="46"/>
      <c r="Q160" s="367"/>
      <c r="R160" s="46"/>
      <c r="S160" s="88">
        <f t="shared" si="11"/>
        <v>0</v>
      </c>
      <c r="T160" s="376"/>
      <c r="U160" s="46"/>
    </row>
    <row r="161" spans="1:21" x14ac:dyDescent="0.2">
      <c r="A161" s="8">
        <f t="shared" si="10"/>
        <v>151</v>
      </c>
      <c r="B161" s="933"/>
      <c r="C161" s="933"/>
      <c r="D161" s="43"/>
      <c r="E161" s="39"/>
      <c r="F161" s="365"/>
      <c r="G161" s="46"/>
      <c r="H161" s="367"/>
      <c r="I161" s="46"/>
      <c r="J161" s="88">
        <f t="shared" si="9"/>
        <v>0</v>
      </c>
      <c r="K161" s="371"/>
      <c r="L161" s="46"/>
      <c r="M161" s="41"/>
      <c r="N161" s="363"/>
      <c r="O161" s="43"/>
      <c r="P161" s="46"/>
      <c r="Q161" s="367"/>
      <c r="R161" s="46"/>
      <c r="S161" s="88">
        <f t="shared" si="11"/>
        <v>0</v>
      </c>
      <c r="T161" s="376"/>
      <c r="U161" s="46"/>
    </row>
    <row r="162" spans="1:21" x14ac:dyDescent="0.2">
      <c r="A162" s="8">
        <f t="shared" si="10"/>
        <v>152</v>
      </c>
      <c r="B162" s="933"/>
      <c r="C162" s="933"/>
      <c r="D162" s="43"/>
      <c r="E162" s="39"/>
      <c r="F162" s="365"/>
      <c r="G162" s="46"/>
      <c r="H162" s="367"/>
      <c r="I162" s="46"/>
      <c r="J162" s="88">
        <f t="shared" si="9"/>
        <v>0</v>
      </c>
      <c r="K162" s="371"/>
      <c r="L162" s="46"/>
      <c r="M162" s="41"/>
      <c r="N162" s="363"/>
      <c r="O162" s="43"/>
      <c r="P162" s="46"/>
      <c r="Q162" s="367"/>
      <c r="R162" s="46"/>
      <c r="S162" s="88">
        <f t="shared" si="11"/>
        <v>0</v>
      </c>
      <c r="T162" s="376"/>
      <c r="U162" s="46"/>
    </row>
    <row r="163" spans="1:21" x14ac:dyDescent="0.2">
      <c r="A163" s="8">
        <f t="shared" si="10"/>
        <v>153</v>
      </c>
      <c r="B163" s="933"/>
      <c r="C163" s="933"/>
      <c r="D163" s="43"/>
      <c r="E163" s="39"/>
      <c r="F163" s="365"/>
      <c r="G163" s="46"/>
      <c r="H163" s="367"/>
      <c r="I163" s="46"/>
      <c r="J163" s="88">
        <f t="shared" si="9"/>
        <v>0</v>
      </c>
      <c r="K163" s="371"/>
      <c r="L163" s="46"/>
      <c r="M163" s="41"/>
      <c r="N163" s="363"/>
      <c r="O163" s="43"/>
      <c r="P163" s="46"/>
      <c r="Q163" s="367"/>
      <c r="R163" s="46"/>
      <c r="S163" s="88">
        <f t="shared" si="11"/>
        <v>0</v>
      </c>
      <c r="T163" s="376"/>
      <c r="U163" s="46"/>
    </row>
    <row r="164" spans="1:21" x14ac:dyDescent="0.2">
      <c r="A164" s="8">
        <f t="shared" si="10"/>
        <v>154</v>
      </c>
      <c r="B164" s="933"/>
      <c r="C164" s="933"/>
      <c r="D164" s="43"/>
      <c r="E164" s="39"/>
      <c r="F164" s="365"/>
      <c r="G164" s="46"/>
      <c r="H164" s="367"/>
      <c r="I164" s="46"/>
      <c r="J164" s="88">
        <f t="shared" si="9"/>
        <v>0</v>
      </c>
      <c r="K164" s="371"/>
      <c r="L164" s="46"/>
      <c r="M164" s="41"/>
      <c r="N164" s="363"/>
      <c r="O164" s="43"/>
      <c r="P164" s="46"/>
      <c r="Q164" s="367"/>
      <c r="R164" s="46"/>
      <c r="S164" s="88">
        <f t="shared" si="11"/>
        <v>0</v>
      </c>
      <c r="T164" s="376"/>
      <c r="U164" s="46"/>
    </row>
    <row r="165" spans="1:21" x14ac:dyDescent="0.2">
      <c r="A165" s="8">
        <f t="shared" si="10"/>
        <v>155</v>
      </c>
      <c r="B165" s="933"/>
      <c r="C165" s="933"/>
      <c r="D165" s="43"/>
      <c r="E165" s="39"/>
      <c r="F165" s="365"/>
      <c r="G165" s="46"/>
      <c r="H165" s="367"/>
      <c r="I165" s="46"/>
      <c r="J165" s="88">
        <f t="shared" si="9"/>
        <v>0</v>
      </c>
      <c r="K165" s="371"/>
      <c r="L165" s="46"/>
      <c r="M165" s="41"/>
      <c r="N165" s="363"/>
      <c r="O165" s="43"/>
      <c r="P165" s="46"/>
      <c r="Q165" s="367"/>
      <c r="R165" s="46"/>
      <c r="S165" s="88">
        <f t="shared" si="11"/>
        <v>0</v>
      </c>
      <c r="T165" s="376"/>
      <c r="U165" s="46"/>
    </row>
    <row r="166" spans="1:21" x14ac:dyDescent="0.2">
      <c r="A166" s="8">
        <f t="shared" si="10"/>
        <v>156</v>
      </c>
      <c r="B166" s="933"/>
      <c r="C166" s="933"/>
      <c r="D166" s="43"/>
      <c r="E166" s="39"/>
      <c r="F166" s="365"/>
      <c r="G166" s="46"/>
      <c r="H166" s="367"/>
      <c r="I166" s="46"/>
      <c r="J166" s="88">
        <f t="shared" si="9"/>
        <v>0</v>
      </c>
      <c r="K166" s="371"/>
      <c r="L166" s="46"/>
      <c r="M166" s="41"/>
      <c r="N166" s="363"/>
      <c r="O166" s="43"/>
      <c r="P166" s="46"/>
      <c r="Q166" s="367"/>
      <c r="R166" s="46"/>
      <c r="S166" s="88">
        <f t="shared" si="11"/>
        <v>0</v>
      </c>
      <c r="T166" s="376"/>
      <c r="U166" s="46"/>
    </row>
    <row r="167" spans="1:21" x14ac:dyDescent="0.2">
      <c r="A167" s="8">
        <f t="shared" si="10"/>
        <v>157</v>
      </c>
      <c r="B167" s="933"/>
      <c r="C167" s="933"/>
      <c r="D167" s="43"/>
      <c r="E167" s="39"/>
      <c r="F167" s="365"/>
      <c r="G167" s="46"/>
      <c r="H167" s="367"/>
      <c r="I167" s="46"/>
      <c r="J167" s="88">
        <f t="shared" si="9"/>
        <v>0</v>
      </c>
      <c r="K167" s="371"/>
      <c r="L167" s="46"/>
      <c r="M167" s="41"/>
      <c r="N167" s="363"/>
      <c r="O167" s="43"/>
      <c r="P167" s="46"/>
      <c r="Q167" s="367"/>
      <c r="R167" s="46"/>
      <c r="S167" s="88">
        <f t="shared" si="11"/>
        <v>0</v>
      </c>
      <c r="T167" s="376"/>
      <c r="U167" s="46"/>
    </row>
    <row r="168" spans="1:21" x14ac:dyDescent="0.2">
      <c r="A168" s="8">
        <f t="shared" si="10"/>
        <v>158</v>
      </c>
      <c r="B168" s="933"/>
      <c r="C168" s="933"/>
      <c r="D168" s="43"/>
      <c r="E168" s="39"/>
      <c r="F168" s="365"/>
      <c r="G168" s="46"/>
      <c r="H168" s="367"/>
      <c r="I168" s="46"/>
      <c r="J168" s="88">
        <f t="shared" si="9"/>
        <v>0</v>
      </c>
      <c r="K168" s="371"/>
      <c r="L168" s="46"/>
      <c r="M168" s="41"/>
      <c r="N168" s="363"/>
      <c r="O168" s="43"/>
      <c r="P168" s="46"/>
      <c r="Q168" s="367"/>
      <c r="R168" s="46"/>
      <c r="S168" s="88">
        <f t="shared" si="11"/>
        <v>0</v>
      </c>
      <c r="T168" s="376"/>
      <c r="U168" s="46"/>
    </row>
    <row r="169" spans="1:21" x14ac:dyDescent="0.2">
      <c r="A169" s="8">
        <f t="shared" si="10"/>
        <v>159</v>
      </c>
      <c r="B169" s="933"/>
      <c r="C169" s="933"/>
      <c r="D169" s="43"/>
      <c r="E169" s="39"/>
      <c r="F169" s="365"/>
      <c r="G169" s="46"/>
      <c r="H169" s="367"/>
      <c r="I169" s="46"/>
      <c r="J169" s="88">
        <f t="shared" si="9"/>
        <v>0</v>
      </c>
      <c r="K169" s="371"/>
      <c r="L169" s="46"/>
      <c r="M169" s="41"/>
      <c r="N169" s="363"/>
      <c r="O169" s="43"/>
      <c r="P169" s="46"/>
      <c r="Q169" s="367"/>
      <c r="R169" s="46"/>
      <c r="S169" s="88">
        <f t="shared" si="11"/>
        <v>0</v>
      </c>
      <c r="T169" s="376"/>
      <c r="U169" s="46"/>
    </row>
    <row r="170" spans="1:21" x14ac:dyDescent="0.2">
      <c r="A170" s="8">
        <f t="shared" si="10"/>
        <v>160</v>
      </c>
      <c r="B170" s="933"/>
      <c r="C170" s="933"/>
      <c r="D170" s="43"/>
      <c r="E170" s="39"/>
      <c r="F170" s="365"/>
      <c r="G170" s="46"/>
      <c r="H170" s="367"/>
      <c r="I170" s="46"/>
      <c r="J170" s="88">
        <f t="shared" si="9"/>
        <v>0</v>
      </c>
      <c r="K170" s="371"/>
      <c r="L170" s="46"/>
      <c r="M170" s="41"/>
      <c r="N170" s="363"/>
      <c r="O170" s="43"/>
      <c r="P170" s="46"/>
      <c r="Q170" s="367"/>
      <c r="R170" s="46"/>
      <c r="S170" s="88">
        <f t="shared" si="11"/>
        <v>0</v>
      </c>
      <c r="T170" s="376"/>
      <c r="U170" s="46"/>
    </row>
    <row r="171" spans="1:21" x14ac:dyDescent="0.2">
      <c r="A171" s="8">
        <f t="shared" si="10"/>
        <v>161</v>
      </c>
      <c r="B171" s="933"/>
      <c r="C171" s="933"/>
      <c r="D171" s="43"/>
      <c r="E171" s="39"/>
      <c r="F171" s="365"/>
      <c r="G171" s="46"/>
      <c r="H171" s="367"/>
      <c r="I171" s="46"/>
      <c r="J171" s="88">
        <f t="shared" si="9"/>
        <v>0</v>
      </c>
      <c r="K171" s="371"/>
      <c r="L171" s="46"/>
      <c r="M171" s="41"/>
      <c r="N171" s="363"/>
      <c r="O171" s="43"/>
      <c r="P171" s="46"/>
      <c r="Q171" s="367"/>
      <c r="R171" s="46"/>
      <c r="S171" s="88">
        <f t="shared" si="11"/>
        <v>0</v>
      </c>
      <c r="T171" s="376"/>
      <c r="U171" s="46"/>
    </row>
    <row r="172" spans="1:21" x14ac:dyDescent="0.2">
      <c r="A172" s="8">
        <f t="shared" si="10"/>
        <v>162</v>
      </c>
      <c r="B172" s="933"/>
      <c r="C172" s="933"/>
      <c r="D172" s="43"/>
      <c r="E172" s="39"/>
      <c r="F172" s="365"/>
      <c r="G172" s="46"/>
      <c r="H172" s="367"/>
      <c r="I172" s="46"/>
      <c r="J172" s="88">
        <f t="shared" si="9"/>
        <v>0</v>
      </c>
      <c r="K172" s="371"/>
      <c r="L172" s="46"/>
      <c r="M172" s="41"/>
      <c r="N172" s="363"/>
      <c r="O172" s="43"/>
      <c r="P172" s="46"/>
      <c r="Q172" s="367"/>
      <c r="R172" s="46"/>
      <c r="S172" s="88">
        <f t="shared" si="11"/>
        <v>0</v>
      </c>
      <c r="T172" s="376"/>
      <c r="U172" s="46"/>
    </row>
    <row r="173" spans="1:21" x14ac:dyDescent="0.2">
      <c r="A173" s="8">
        <f t="shared" si="10"/>
        <v>163</v>
      </c>
      <c r="B173" s="933"/>
      <c r="C173" s="933"/>
      <c r="D173" s="43"/>
      <c r="E173" s="39"/>
      <c r="F173" s="365"/>
      <c r="G173" s="46"/>
      <c r="H173" s="367"/>
      <c r="I173" s="46"/>
      <c r="J173" s="88">
        <f t="shared" si="9"/>
        <v>0</v>
      </c>
      <c r="K173" s="371"/>
      <c r="L173" s="46"/>
      <c r="M173" s="41"/>
      <c r="N173" s="363"/>
      <c r="O173" s="43"/>
      <c r="P173" s="46"/>
      <c r="Q173" s="367"/>
      <c r="R173" s="46"/>
      <c r="S173" s="88">
        <f t="shared" si="11"/>
        <v>0</v>
      </c>
      <c r="T173" s="376"/>
      <c r="U173" s="46"/>
    </row>
    <row r="174" spans="1:21" x14ac:dyDescent="0.2">
      <c r="A174" s="8">
        <f t="shared" si="10"/>
        <v>164</v>
      </c>
      <c r="B174" s="933"/>
      <c r="C174" s="933"/>
      <c r="D174" s="43"/>
      <c r="E174" s="39"/>
      <c r="F174" s="365"/>
      <c r="G174" s="46"/>
      <c r="H174" s="367"/>
      <c r="I174" s="46"/>
      <c r="J174" s="88">
        <f t="shared" si="9"/>
        <v>0</v>
      </c>
      <c r="K174" s="371"/>
      <c r="L174" s="46"/>
      <c r="M174" s="41"/>
      <c r="N174" s="363"/>
      <c r="O174" s="43"/>
      <c r="P174" s="46"/>
      <c r="Q174" s="367"/>
      <c r="R174" s="46"/>
      <c r="S174" s="88">
        <f t="shared" si="11"/>
        <v>0</v>
      </c>
      <c r="T174" s="376"/>
      <c r="U174" s="46"/>
    </row>
    <row r="175" spans="1:21" x14ac:dyDescent="0.2">
      <c r="A175" s="8">
        <f t="shared" si="10"/>
        <v>165</v>
      </c>
      <c r="B175" s="933"/>
      <c r="C175" s="933"/>
      <c r="D175" s="43"/>
      <c r="E175" s="39"/>
      <c r="F175" s="365"/>
      <c r="G175" s="46"/>
      <c r="H175" s="367"/>
      <c r="I175" s="46"/>
      <c r="J175" s="88">
        <f t="shared" si="9"/>
        <v>0</v>
      </c>
      <c r="K175" s="371"/>
      <c r="L175" s="46"/>
      <c r="M175" s="41"/>
      <c r="N175" s="363"/>
      <c r="O175" s="43"/>
      <c r="P175" s="46"/>
      <c r="Q175" s="367"/>
      <c r="R175" s="46"/>
      <c r="S175" s="88">
        <f t="shared" si="11"/>
        <v>0</v>
      </c>
      <c r="T175" s="376"/>
      <c r="U175" s="46"/>
    </row>
    <row r="176" spans="1:21" x14ac:dyDescent="0.2">
      <c r="A176" s="8">
        <f t="shared" si="10"/>
        <v>166</v>
      </c>
      <c r="B176" s="933"/>
      <c r="C176" s="933"/>
      <c r="D176" s="43"/>
      <c r="E176" s="39"/>
      <c r="F176" s="365"/>
      <c r="G176" s="46"/>
      <c r="H176" s="367"/>
      <c r="I176" s="46"/>
      <c r="J176" s="88">
        <f t="shared" si="9"/>
        <v>0</v>
      </c>
      <c r="K176" s="371"/>
      <c r="L176" s="46"/>
      <c r="M176" s="41"/>
      <c r="N176" s="363"/>
      <c r="O176" s="43"/>
      <c r="P176" s="46"/>
      <c r="Q176" s="367"/>
      <c r="R176" s="46"/>
      <c r="S176" s="88">
        <f t="shared" si="11"/>
        <v>0</v>
      </c>
      <c r="T176" s="376"/>
      <c r="U176" s="46"/>
    </row>
    <row r="177" spans="1:21" x14ac:dyDescent="0.2">
      <c r="A177" s="8">
        <f t="shared" si="10"/>
        <v>167</v>
      </c>
      <c r="B177" s="933"/>
      <c r="C177" s="933"/>
      <c r="D177" s="43"/>
      <c r="E177" s="39"/>
      <c r="F177" s="365"/>
      <c r="G177" s="46"/>
      <c r="H177" s="367"/>
      <c r="I177" s="46"/>
      <c r="J177" s="88">
        <f t="shared" si="9"/>
        <v>0</v>
      </c>
      <c r="K177" s="371"/>
      <c r="L177" s="46"/>
      <c r="M177" s="41"/>
      <c r="N177" s="363"/>
      <c r="O177" s="43"/>
      <c r="P177" s="46"/>
      <c r="Q177" s="367"/>
      <c r="R177" s="46"/>
      <c r="S177" s="88">
        <f t="shared" si="11"/>
        <v>0</v>
      </c>
      <c r="T177" s="376"/>
      <c r="U177" s="46"/>
    </row>
    <row r="178" spans="1:21" x14ac:dyDescent="0.2">
      <c r="A178" s="8">
        <f t="shared" si="10"/>
        <v>168</v>
      </c>
      <c r="B178" s="933"/>
      <c r="C178" s="933"/>
      <c r="D178" s="43"/>
      <c r="E178" s="39"/>
      <c r="F178" s="365"/>
      <c r="G178" s="46"/>
      <c r="H178" s="367"/>
      <c r="I178" s="46"/>
      <c r="J178" s="88">
        <f t="shared" si="9"/>
        <v>0</v>
      </c>
      <c r="K178" s="371"/>
      <c r="L178" s="46"/>
      <c r="M178" s="41"/>
      <c r="N178" s="363"/>
      <c r="O178" s="43"/>
      <c r="P178" s="46"/>
      <c r="Q178" s="367"/>
      <c r="R178" s="46"/>
      <c r="S178" s="88">
        <f t="shared" si="11"/>
        <v>0</v>
      </c>
      <c r="T178" s="376"/>
      <c r="U178" s="46"/>
    </row>
    <row r="179" spans="1:21" x14ac:dyDescent="0.2">
      <c r="A179" s="8">
        <f t="shared" si="10"/>
        <v>169</v>
      </c>
      <c r="B179" s="933"/>
      <c r="C179" s="933"/>
      <c r="D179" s="43"/>
      <c r="E179" s="39"/>
      <c r="F179" s="365"/>
      <c r="G179" s="46"/>
      <c r="H179" s="367"/>
      <c r="I179" s="46"/>
      <c r="J179" s="88">
        <f t="shared" si="9"/>
        <v>0</v>
      </c>
      <c r="K179" s="371"/>
      <c r="L179" s="46"/>
      <c r="M179" s="41"/>
      <c r="N179" s="363"/>
      <c r="O179" s="43"/>
      <c r="P179" s="46"/>
      <c r="Q179" s="367"/>
      <c r="R179" s="46"/>
      <c r="S179" s="88">
        <f t="shared" si="11"/>
        <v>0</v>
      </c>
      <c r="T179" s="376"/>
      <c r="U179" s="46"/>
    </row>
    <row r="180" spans="1:21" x14ac:dyDescent="0.2">
      <c r="A180" s="8">
        <f t="shared" si="10"/>
        <v>170</v>
      </c>
      <c r="B180" s="933"/>
      <c r="C180" s="933"/>
      <c r="D180" s="43"/>
      <c r="E180" s="39"/>
      <c r="F180" s="365"/>
      <c r="G180" s="46"/>
      <c r="H180" s="367"/>
      <c r="I180" s="46"/>
      <c r="J180" s="88">
        <f t="shared" si="9"/>
        <v>0</v>
      </c>
      <c r="K180" s="371"/>
      <c r="L180" s="46"/>
      <c r="M180" s="41"/>
      <c r="N180" s="363"/>
      <c r="O180" s="43"/>
      <c r="P180" s="46"/>
      <c r="Q180" s="367"/>
      <c r="R180" s="46"/>
      <c r="S180" s="88">
        <f t="shared" si="11"/>
        <v>0</v>
      </c>
      <c r="T180" s="376"/>
      <c r="U180" s="46"/>
    </row>
    <row r="181" spans="1:21" x14ac:dyDescent="0.2">
      <c r="A181" s="8">
        <f t="shared" si="10"/>
        <v>171</v>
      </c>
      <c r="B181" s="933"/>
      <c r="C181" s="933"/>
      <c r="D181" s="43"/>
      <c r="E181" s="39"/>
      <c r="F181" s="365"/>
      <c r="G181" s="46"/>
      <c r="H181" s="367"/>
      <c r="I181" s="46"/>
      <c r="J181" s="88">
        <f t="shared" si="9"/>
        <v>0</v>
      </c>
      <c r="K181" s="371"/>
      <c r="L181" s="46"/>
      <c r="M181" s="41"/>
      <c r="N181" s="363"/>
      <c r="O181" s="43"/>
      <c r="P181" s="46"/>
      <c r="Q181" s="367"/>
      <c r="R181" s="46"/>
      <c r="S181" s="88">
        <f t="shared" si="11"/>
        <v>0</v>
      </c>
      <c r="T181" s="376"/>
      <c r="U181" s="46"/>
    </row>
    <row r="182" spans="1:21" x14ac:dyDescent="0.2">
      <c r="A182" s="8">
        <f t="shared" si="10"/>
        <v>172</v>
      </c>
      <c r="B182" s="933"/>
      <c r="C182" s="933"/>
      <c r="D182" s="43"/>
      <c r="E182" s="39"/>
      <c r="F182" s="365"/>
      <c r="G182" s="46"/>
      <c r="H182" s="367"/>
      <c r="I182" s="46"/>
      <c r="J182" s="88">
        <f t="shared" si="9"/>
        <v>0</v>
      </c>
      <c r="K182" s="371"/>
      <c r="L182" s="46"/>
      <c r="M182" s="41"/>
      <c r="N182" s="363"/>
      <c r="O182" s="43"/>
      <c r="P182" s="46"/>
      <c r="Q182" s="367"/>
      <c r="R182" s="46"/>
      <c r="S182" s="88">
        <f t="shared" si="11"/>
        <v>0</v>
      </c>
      <c r="T182" s="376"/>
      <c r="U182" s="46"/>
    </row>
    <row r="183" spans="1:21" x14ac:dyDescent="0.2">
      <c r="A183" s="8">
        <f t="shared" si="10"/>
        <v>173</v>
      </c>
      <c r="B183" s="933"/>
      <c r="C183" s="933"/>
      <c r="D183" s="43"/>
      <c r="E183" s="39"/>
      <c r="F183" s="365"/>
      <c r="G183" s="46"/>
      <c r="H183" s="367"/>
      <c r="I183" s="46"/>
      <c r="J183" s="88">
        <f t="shared" si="9"/>
        <v>0</v>
      </c>
      <c r="K183" s="371"/>
      <c r="L183" s="46"/>
      <c r="M183" s="41"/>
      <c r="N183" s="363"/>
      <c r="O183" s="43"/>
      <c r="P183" s="46"/>
      <c r="Q183" s="367"/>
      <c r="R183" s="46"/>
      <c r="S183" s="88">
        <f t="shared" si="11"/>
        <v>0</v>
      </c>
      <c r="T183" s="376"/>
      <c r="U183" s="46"/>
    </row>
    <row r="184" spans="1:21" x14ac:dyDescent="0.2">
      <c r="A184" s="8">
        <f t="shared" si="10"/>
        <v>174</v>
      </c>
      <c r="B184" s="933"/>
      <c r="C184" s="933"/>
      <c r="D184" s="43"/>
      <c r="E184" s="39"/>
      <c r="F184" s="365"/>
      <c r="G184" s="46"/>
      <c r="H184" s="367"/>
      <c r="I184" s="46"/>
      <c r="J184" s="88">
        <f t="shared" si="9"/>
        <v>0</v>
      </c>
      <c r="K184" s="371"/>
      <c r="L184" s="46"/>
      <c r="M184" s="41"/>
      <c r="N184" s="363"/>
      <c r="O184" s="43"/>
      <c r="P184" s="46"/>
      <c r="Q184" s="367"/>
      <c r="R184" s="46"/>
      <c r="S184" s="88">
        <f t="shared" si="11"/>
        <v>0</v>
      </c>
      <c r="T184" s="376"/>
      <c r="U184" s="46"/>
    </row>
    <row r="185" spans="1:21" x14ac:dyDescent="0.2">
      <c r="A185" s="8">
        <f t="shared" si="10"/>
        <v>175</v>
      </c>
      <c r="B185" s="933"/>
      <c r="C185" s="933"/>
      <c r="D185" s="43"/>
      <c r="E185" s="39"/>
      <c r="F185" s="365"/>
      <c r="G185" s="46"/>
      <c r="H185" s="367"/>
      <c r="I185" s="46"/>
      <c r="J185" s="88">
        <f t="shared" si="9"/>
        <v>0</v>
      </c>
      <c r="K185" s="371"/>
      <c r="L185" s="46"/>
      <c r="M185" s="41"/>
      <c r="N185" s="363"/>
      <c r="O185" s="43"/>
      <c r="P185" s="46"/>
      <c r="Q185" s="367"/>
      <c r="R185" s="46"/>
      <c r="S185" s="88">
        <f t="shared" si="11"/>
        <v>0</v>
      </c>
      <c r="T185" s="376"/>
      <c r="U185" s="46"/>
    </row>
    <row r="186" spans="1:21" x14ac:dyDescent="0.2">
      <c r="A186" s="8">
        <f t="shared" si="10"/>
        <v>176</v>
      </c>
      <c r="B186" s="933"/>
      <c r="C186" s="933"/>
      <c r="D186" s="43"/>
      <c r="E186" s="39"/>
      <c r="F186" s="365"/>
      <c r="G186" s="46"/>
      <c r="H186" s="367"/>
      <c r="I186" s="46"/>
      <c r="J186" s="88">
        <f t="shared" si="9"/>
        <v>0</v>
      </c>
      <c r="K186" s="371"/>
      <c r="L186" s="46"/>
      <c r="M186" s="41"/>
      <c r="N186" s="363"/>
      <c r="O186" s="43"/>
      <c r="P186" s="46"/>
      <c r="Q186" s="367"/>
      <c r="R186" s="46"/>
      <c r="S186" s="88">
        <f t="shared" si="11"/>
        <v>0</v>
      </c>
      <c r="T186" s="376"/>
      <c r="U186" s="46"/>
    </row>
    <row r="187" spans="1:21" x14ac:dyDescent="0.2">
      <c r="A187" s="8">
        <f t="shared" si="10"/>
        <v>177</v>
      </c>
      <c r="B187" s="933"/>
      <c r="C187" s="933"/>
      <c r="D187" s="43"/>
      <c r="E187" s="39"/>
      <c r="F187" s="365"/>
      <c r="G187" s="46"/>
      <c r="H187" s="367"/>
      <c r="I187" s="46"/>
      <c r="J187" s="88">
        <f t="shared" si="9"/>
        <v>0</v>
      </c>
      <c r="K187" s="371"/>
      <c r="L187" s="46"/>
      <c r="M187" s="41"/>
      <c r="N187" s="363"/>
      <c r="O187" s="43"/>
      <c r="P187" s="46"/>
      <c r="Q187" s="367"/>
      <c r="R187" s="46"/>
      <c r="S187" s="88">
        <f t="shared" si="11"/>
        <v>0</v>
      </c>
      <c r="T187" s="376"/>
      <c r="U187" s="46"/>
    </row>
    <row r="188" spans="1:21" x14ac:dyDescent="0.2">
      <c r="A188" s="8">
        <f t="shared" si="10"/>
        <v>178</v>
      </c>
      <c r="B188" s="933"/>
      <c r="C188" s="933"/>
      <c r="D188" s="43"/>
      <c r="E188" s="39"/>
      <c r="F188" s="365"/>
      <c r="G188" s="46"/>
      <c r="H188" s="367"/>
      <c r="I188" s="46"/>
      <c r="J188" s="88">
        <f t="shared" si="9"/>
        <v>0</v>
      </c>
      <c r="K188" s="371"/>
      <c r="L188" s="46"/>
      <c r="M188" s="41"/>
      <c r="N188" s="363"/>
      <c r="O188" s="43"/>
      <c r="P188" s="46"/>
      <c r="Q188" s="367"/>
      <c r="R188" s="46"/>
      <c r="S188" s="88">
        <f t="shared" si="11"/>
        <v>0</v>
      </c>
      <c r="T188" s="376"/>
      <c r="U188" s="46"/>
    </row>
    <row r="189" spans="1:21" x14ac:dyDescent="0.2">
      <c r="A189" s="8">
        <f t="shared" si="10"/>
        <v>179</v>
      </c>
      <c r="B189" s="933"/>
      <c r="C189" s="933"/>
      <c r="D189" s="43"/>
      <c r="E189" s="39"/>
      <c r="F189" s="365"/>
      <c r="G189" s="46"/>
      <c r="H189" s="367"/>
      <c r="I189" s="46"/>
      <c r="J189" s="88">
        <f t="shared" si="9"/>
        <v>0</v>
      </c>
      <c r="K189" s="371"/>
      <c r="L189" s="46"/>
      <c r="M189" s="41"/>
      <c r="N189" s="363"/>
      <c r="O189" s="43"/>
      <c r="P189" s="46"/>
      <c r="Q189" s="367"/>
      <c r="R189" s="46"/>
      <c r="S189" s="88">
        <f t="shared" si="11"/>
        <v>0</v>
      </c>
      <c r="T189" s="376"/>
      <c r="U189" s="46"/>
    </row>
    <row r="190" spans="1:21" x14ac:dyDescent="0.2">
      <c r="A190" s="8">
        <f t="shared" si="10"/>
        <v>180</v>
      </c>
      <c r="B190" s="933"/>
      <c r="C190" s="933"/>
      <c r="D190" s="43"/>
      <c r="E190" s="39"/>
      <c r="F190" s="365"/>
      <c r="G190" s="46"/>
      <c r="H190" s="367"/>
      <c r="I190" s="46"/>
      <c r="J190" s="88">
        <f t="shared" si="9"/>
        <v>0</v>
      </c>
      <c r="K190" s="371"/>
      <c r="L190" s="46"/>
      <c r="M190" s="41"/>
      <c r="N190" s="363"/>
      <c r="O190" s="43"/>
      <c r="P190" s="46"/>
      <c r="Q190" s="367"/>
      <c r="R190" s="46"/>
      <c r="S190" s="88">
        <f t="shared" si="11"/>
        <v>0</v>
      </c>
      <c r="T190" s="376"/>
      <c r="U190" s="46"/>
    </row>
    <row r="191" spans="1:21" x14ac:dyDescent="0.2">
      <c r="A191" s="8">
        <f t="shared" si="10"/>
        <v>181</v>
      </c>
      <c r="B191" s="933"/>
      <c r="C191" s="933"/>
      <c r="D191" s="43"/>
      <c r="E191" s="39"/>
      <c r="F191" s="365"/>
      <c r="G191" s="46"/>
      <c r="H191" s="367"/>
      <c r="I191" s="46"/>
      <c r="J191" s="88">
        <f t="shared" si="9"/>
        <v>0</v>
      </c>
      <c r="K191" s="371"/>
      <c r="L191" s="46"/>
      <c r="M191" s="41"/>
      <c r="N191" s="363"/>
      <c r="O191" s="43"/>
      <c r="P191" s="46"/>
      <c r="Q191" s="367"/>
      <c r="R191" s="46"/>
      <c r="S191" s="88">
        <f t="shared" si="11"/>
        <v>0</v>
      </c>
      <c r="T191" s="376"/>
      <c r="U191" s="46"/>
    </row>
    <row r="192" spans="1:21" x14ac:dyDescent="0.2">
      <c r="A192" s="8">
        <f t="shared" si="10"/>
        <v>182</v>
      </c>
      <c r="B192" s="933"/>
      <c r="C192" s="933"/>
      <c r="D192" s="43"/>
      <c r="E192" s="39"/>
      <c r="F192" s="365"/>
      <c r="G192" s="46"/>
      <c r="H192" s="367"/>
      <c r="I192" s="46"/>
      <c r="J192" s="88">
        <f t="shared" si="9"/>
        <v>0</v>
      </c>
      <c r="K192" s="371"/>
      <c r="L192" s="46"/>
      <c r="M192" s="41"/>
      <c r="N192" s="363"/>
      <c r="O192" s="43"/>
      <c r="P192" s="46"/>
      <c r="Q192" s="367"/>
      <c r="R192" s="46"/>
      <c r="S192" s="88">
        <f t="shared" si="11"/>
        <v>0</v>
      </c>
      <c r="T192" s="376"/>
      <c r="U192" s="46"/>
    </row>
    <row r="193" spans="1:21" x14ac:dyDescent="0.2">
      <c r="A193" s="8">
        <f t="shared" si="10"/>
        <v>183</v>
      </c>
      <c r="B193" s="933"/>
      <c r="C193" s="933"/>
      <c r="D193" s="43"/>
      <c r="E193" s="39"/>
      <c r="F193" s="365"/>
      <c r="G193" s="46"/>
      <c r="H193" s="367"/>
      <c r="I193" s="46"/>
      <c r="J193" s="88">
        <f t="shared" si="9"/>
        <v>0</v>
      </c>
      <c r="K193" s="371"/>
      <c r="L193" s="46"/>
      <c r="M193" s="41"/>
      <c r="N193" s="363"/>
      <c r="O193" s="43"/>
      <c r="P193" s="46"/>
      <c r="Q193" s="367"/>
      <c r="R193" s="46"/>
      <c r="S193" s="88">
        <f t="shared" si="11"/>
        <v>0</v>
      </c>
      <c r="T193" s="376"/>
      <c r="U193" s="46"/>
    </row>
    <row r="194" spans="1:21" x14ac:dyDescent="0.2">
      <c r="A194" s="8">
        <f t="shared" si="10"/>
        <v>184</v>
      </c>
      <c r="B194" s="933"/>
      <c r="C194" s="933"/>
      <c r="D194" s="43"/>
      <c r="E194" s="39"/>
      <c r="F194" s="365"/>
      <c r="G194" s="46"/>
      <c r="H194" s="367"/>
      <c r="I194" s="46"/>
      <c r="J194" s="88">
        <f t="shared" si="9"/>
        <v>0</v>
      </c>
      <c r="K194" s="371"/>
      <c r="L194" s="46"/>
      <c r="M194" s="41"/>
      <c r="N194" s="363"/>
      <c r="O194" s="43"/>
      <c r="P194" s="46"/>
      <c r="Q194" s="367"/>
      <c r="R194" s="46"/>
      <c r="S194" s="88">
        <f t="shared" si="11"/>
        <v>0</v>
      </c>
      <c r="T194" s="376"/>
      <c r="U194" s="46"/>
    </row>
    <row r="195" spans="1:21" x14ac:dyDescent="0.2">
      <c r="A195" s="8">
        <f t="shared" si="10"/>
        <v>185</v>
      </c>
      <c r="B195" s="933"/>
      <c r="C195" s="933"/>
      <c r="D195" s="43"/>
      <c r="E195" s="39"/>
      <c r="F195" s="365"/>
      <c r="G195" s="46"/>
      <c r="H195" s="367"/>
      <c r="I195" s="46"/>
      <c r="J195" s="88">
        <f t="shared" si="9"/>
        <v>0</v>
      </c>
      <c r="K195" s="371"/>
      <c r="L195" s="46"/>
      <c r="M195" s="41"/>
      <c r="N195" s="363"/>
      <c r="O195" s="43"/>
      <c r="P195" s="46"/>
      <c r="Q195" s="367"/>
      <c r="R195" s="46"/>
      <c r="S195" s="88">
        <f t="shared" si="11"/>
        <v>0</v>
      </c>
      <c r="T195" s="376"/>
      <c r="U195" s="46"/>
    </row>
    <row r="196" spans="1:21" x14ac:dyDescent="0.2">
      <c r="A196" s="8">
        <f t="shared" si="10"/>
        <v>186</v>
      </c>
      <c r="B196" s="933"/>
      <c r="C196" s="933"/>
      <c r="D196" s="43"/>
      <c r="E196" s="39"/>
      <c r="F196" s="365"/>
      <c r="G196" s="46"/>
      <c r="H196" s="367"/>
      <c r="I196" s="46"/>
      <c r="J196" s="88">
        <f t="shared" si="9"/>
        <v>0</v>
      </c>
      <c r="K196" s="371"/>
      <c r="L196" s="46"/>
      <c r="M196" s="41"/>
      <c r="N196" s="363"/>
      <c r="O196" s="43"/>
      <c r="P196" s="46"/>
      <c r="Q196" s="367"/>
      <c r="R196" s="46"/>
      <c r="S196" s="88">
        <f t="shared" si="11"/>
        <v>0</v>
      </c>
      <c r="T196" s="376"/>
      <c r="U196" s="46"/>
    </row>
    <row r="197" spans="1:21" x14ac:dyDescent="0.2">
      <c r="A197" s="8">
        <f t="shared" si="10"/>
        <v>187</v>
      </c>
      <c r="B197" s="933"/>
      <c r="C197" s="933"/>
      <c r="D197" s="43"/>
      <c r="E197" s="39"/>
      <c r="F197" s="365"/>
      <c r="G197" s="46"/>
      <c r="H197" s="367"/>
      <c r="I197" s="46"/>
      <c r="J197" s="88">
        <f t="shared" si="9"/>
        <v>0</v>
      </c>
      <c r="K197" s="371"/>
      <c r="L197" s="46"/>
      <c r="M197" s="41"/>
      <c r="N197" s="363"/>
      <c r="O197" s="43"/>
      <c r="P197" s="46"/>
      <c r="Q197" s="367"/>
      <c r="R197" s="46"/>
      <c r="S197" s="88">
        <f t="shared" si="11"/>
        <v>0</v>
      </c>
      <c r="T197" s="376"/>
      <c r="U197" s="46"/>
    </row>
    <row r="198" spans="1:21" x14ac:dyDescent="0.2">
      <c r="A198" s="8">
        <f t="shared" si="10"/>
        <v>188</v>
      </c>
      <c r="B198" s="933"/>
      <c r="C198" s="933"/>
      <c r="D198" s="43"/>
      <c r="E198" s="39"/>
      <c r="F198" s="365"/>
      <c r="G198" s="46"/>
      <c r="H198" s="367"/>
      <c r="I198" s="46"/>
      <c r="J198" s="88">
        <f t="shared" si="9"/>
        <v>0</v>
      </c>
      <c r="K198" s="371"/>
      <c r="L198" s="46"/>
      <c r="M198" s="41"/>
      <c r="N198" s="363"/>
      <c r="O198" s="43"/>
      <c r="P198" s="46"/>
      <c r="Q198" s="367"/>
      <c r="R198" s="46"/>
      <c r="S198" s="88">
        <f t="shared" si="11"/>
        <v>0</v>
      </c>
      <c r="T198" s="376"/>
      <c r="U198" s="46"/>
    </row>
    <row r="199" spans="1:21" x14ac:dyDescent="0.2">
      <c r="A199" s="8">
        <f t="shared" si="10"/>
        <v>189</v>
      </c>
      <c r="B199" s="933"/>
      <c r="C199" s="933"/>
      <c r="D199" s="43"/>
      <c r="E199" s="39"/>
      <c r="F199" s="365"/>
      <c r="G199" s="46"/>
      <c r="H199" s="367"/>
      <c r="I199" s="46"/>
      <c r="J199" s="88">
        <f t="shared" si="9"/>
        <v>0</v>
      </c>
      <c r="K199" s="371"/>
      <c r="L199" s="46"/>
      <c r="M199" s="41"/>
      <c r="N199" s="363"/>
      <c r="O199" s="43"/>
      <c r="P199" s="46"/>
      <c r="Q199" s="367"/>
      <c r="R199" s="46"/>
      <c r="S199" s="88">
        <f t="shared" si="11"/>
        <v>0</v>
      </c>
      <c r="T199" s="376"/>
      <c r="U199" s="46"/>
    </row>
    <row r="200" spans="1:21" x14ac:dyDescent="0.2">
      <c r="A200" s="8">
        <f t="shared" si="10"/>
        <v>190</v>
      </c>
      <c r="B200" s="933"/>
      <c r="C200" s="933"/>
      <c r="D200" s="43"/>
      <c r="E200" s="39"/>
      <c r="F200" s="365"/>
      <c r="G200" s="46"/>
      <c r="H200" s="367"/>
      <c r="I200" s="46"/>
      <c r="J200" s="88">
        <f t="shared" si="9"/>
        <v>0</v>
      </c>
      <c r="K200" s="371"/>
      <c r="L200" s="46"/>
      <c r="M200" s="41"/>
      <c r="N200" s="363"/>
      <c r="O200" s="43"/>
      <c r="P200" s="46"/>
      <c r="Q200" s="367"/>
      <c r="R200" s="46"/>
      <c r="S200" s="88">
        <f t="shared" si="11"/>
        <v>0</v>
      </c>
      <c r="T200" s="376"/>
      <c r="U200" s="46"/>
    </row>
    <row r="201" spans="1:21" x14ac:dyDescent="0.2">
      <c r="A201" s="8">
        <f t="shared" si="10"/>
        <v>191</v>
      </c>
      <c r="B201" s="933"/>
      <c r="C201" s="933"/>
      <c r="D201" s="43"/>
      <c r="E201" s="39"/>
      <c r="F201" s="365"/>
      <c r="G201" s="46"/>
      <c r="H201" s="367"/>
      <c r="I201" s="46"/>
      <c r="J201" s="88">
        <f t="shared" si="9"/>
        <v>0</v>
      </c>
      <c r="K201" s="371"/>
      <c r="L201" s="46"/>
      <c r="M201" s="41"/>
      <c r="N201" s="363"/>
      <c r="O201" s="43"/>
      <c r="P201" s="46"/>
      <c r="Q201" s="367"/>
      <c r="R201" s="46"/>
      <c r="S201" s="88">
        <f t="shared" si="11"/>
        <v>0</v>
      </c>
      <c r="T201" s="376"/>
      <c r="U201" s="46"/>
    </row>
    <row r="202" spans="1:21" x14ac:dyDescent="0.2">
      <c r="A202" s="8">
        <f t="shared" si="10"/>
        <v>192</v>
      </c>
      <c r="B202" s="933"/>
      <c r="C202" s="933"/>
      <c r="D202" s="43"/>
      <c r="E202" s="39"/>
      <c r="F202" s="365"/>
      <c r="G202" s="46"/>
      <c r="H202" s="367"/>
      <c r="I202" s="46"/>
      <c r="J202" s="88">
        <f t="shared" si="9"/>
        <v>0</v>
      </c>
      <c r="K202" s="371"/>
      <c r="L202" s="46"/>
      <c r="M202" s="41"/>
      <c r="N202" s="363"/>
      <c r="O202" s="43"/>
      <c r="P202" s="46"/>
      <c r="Q202" s="367"/>
      <c r="R202" s="46"/>
      <c r="S202" s="88">
        <f t="shared" si="11"/>
        <v>0</v>
      </c>
      <c r="T202" s="376"/>
      <c r="U202" s="46"/>
    </row>
    <row r="203" spans="1:21" x14ac:dyDescent="0.2">
      <c r="A203" s="8">
        <f t="shared" si="10"/>
        <v>193</v>
      </c>
      <c r="B203" s="933"/>
      <c r="C203" s="933"/>
      <c r="D203" s="43"/>
      <c r="E203" s="39"/>
      <c r="F203" s="365"/>
      <c r="G203" s="46"/>
      <c r="H203" s="367"/>
      <c r="I203" s="46"/>
      <c r="J203" s="88">
        <f t="shared" si="9"/>
        <v>0</v>
      </c>
      <c r="K203" s="371"/>
      <c r="L203" s="46"/>
      <c r="M203" s="41"/>
      <c r="N203" s="363"/>
      <c r="O203" s="43"/>
      <c r="P203" s="46"/>
      <c r="Q203" s="367"/>
      <c r="R203" s="46"/>
      <c r="S203" s="88">
        <f t="shared" si="11"/>
        <v>0</v>
      </c>
      <c r="T203" s="376"/>
      <c r="U203" s="46"/>
    </row>
    <row r="204" spans="1:21" x14ac:dyDescent="0.2">
      <c r="A204" s="8">
        <f t="shared" si="10"/>
        <v>194</v>
      </c>
      <c r="B204" s="933"/>
      <c r="C204" s="933"/>
      <c r="D204" s="43"/>
      <c r="E204" s="39"/>
      <c r="F204" s="365"/>
      <c r="G204" s="46"/>
      <c r="H204" s="367"/>
      <c r="I204" s="46"/>
      <c r="J204" s="88">
        <f t="shared" ref="J204:J267" si="12">IF(H204&gt;0,0,IF(G204&gt;0,"Enter Rent $",0))</f>
        <v>0</v>
      </c>
      <c r="K204" s="371"/>
      <c r="L204" s="46"/>
      <c r="M204" s="41"/>
      <c r="N204" s="363"/>
      <c r="O204" s="43"/>
      <c r="P204" s="46"/>
      <c r="Q204" s="367"/>
      <c r="R204" s="46"/>
      <c r="S204" s="88">
        <f t="shared" si="11"/>
        <v>0</v>
      </c>
      <c r="T204" s="376"/>
      <c r="U204" s="46"/>
    </row>
    <row r="205" spans="1:21" x14ac:dyDescent="0.2">
      <c r="A205" s="8">
        <f t="shared" ref="A205:A268" si="13">A204+1</f>
        <v>195</v>
      </c>
      <c r="B205" s="933"/>
      <c r="C205" s="933"/>
      <c r="D205" s="43"/>
      <c r="E205" s="39"/>
      <c r="F205" s="365"/>
      <c r="G205" s="46"/>
      <c r="H205" s="367"/>
      <c r="I205" s="46"/>
      <c r="J205" s="88">
        <f t="shared" si="12"/>
        <v>0</v>
      </c>
      <c r="K205" s="371"/>
      <c r="L205" s="46"/>
      <c r="M205" s="41"/>
      <c r="N205" s="363"/>
      <c r="O205" s="43"/>
      <c r="P205" s="46"/>
      <c r="Q205" s="367"/>
      <c r="R205" s="46"/>
      <c r="S205" s="88">
        <f t="shared" si="11"/>
        <v>0</v>
      </c>
      <c r="T205" s="376"/>
      <c r="U205" s="46"/>
    </row>
    <row r="206" spans="1:21" x14ac:dyDescent="0.2">
      <c r="A206" s="8">
        <f t="shared" si="13"/>
        <v>196</v>
      </c>
      <c r="B206" s="933"/>
      <c r="C206" s="933"/>
      <c r="D206" s="43"/>
      <c r="E206" s="39"/>
      <c r="F206" s="365"/>
      <c r="G206" s="46"/>
      <c r="H206" s="367"/>
      <c r="I206" s="46"/>
      <c r="J206" s="88">
        <f t="shared" si="12"/>
        <v>0</v>
      </c>
      <c r="K206" s="371"/>
      <c r="L206" s="46"/>
      <c r="M206" s="41"/>
      <c r="N206" s="363"/>
      <c r="O206" s="43"/>
      <c r="P206" s="46"/>
      <c r="Q206" s="367"/>
      <c r="R206" s="46"/>
      <c r="S206" s="88">
        <f t="shared" ref="S206:S269" si="14">IF(Q206&gt;0,0,IF(P206&gt;0,"Enter Rent $",0))</f>
        <v>0</v>
      </c>
      <c r="T206" s="376"/>
      <c r="U206" s="46"/>
    </row>
    <row r="207" spans="1:21" x14ac:dyDescent="0.2">
      <c r="A207" s="8">
        <f t="shared" si="13"/>
        <v>197</v>
      </c>
      <c r="B207" s="933"/>
      <c r="C207" s="933"/>
      <c r="D207" s="43"/>
      <c r="E207" s="39"/>
      <c r="F207" s="365"/>
      <c r="G207" s="46"/>
      <c r="H207" s="367"/>
      <c r="I207" s="46"/>
      <c r="J207" s="88">
        <f t="shared" si="12"/>
        <v>0</v>
      </c>
      <c r="K207" s="371"/>
      <c r="L207" s="46"/>
      <c r="M207" s="41"/>
      <c r="N207" s="363"/>
      <c r="O207" s="43"/>
      <c r="P207" s="46"/>
      <c r="Q207" s="367"/>
      <c r="R207" s="46"/>
      <c r="S207" s="88">
        <f t="shared" si="14"/>
        <v>0</v>
      </c>
      <c r="T207" s="376"/>
      <c r="U207" s="46"/>
    </row>
    <row r="208" spans="1:21" x14ac:dyDescent="0.2">
      <c r="A208" s="8">
        <f t="shared" si="13"/>
        <v>198</v>
      </c>
      <c r="B208" s="933"/>
      <c r="C208" s="933"/>
      <c r="D208" s="43"/>
      <c r="E208" s="39"/>
      <c r="F208" s="365"/>
      <c r="G208" s="46"/>
      <c r="H208" s="367"/>
      <c r="I208" s="46"/>
      <c r="J208" s="88">
        <f t="shared" si="12"/>
        <v>0</v>
      </c>
      <c r="K208" s="371"/>
      <c r="L208" s="46"/>
      <c r="M208" s="41"/>
      <c r="N208" s="363"/>
      <c r="O208" s="43"/>
      <c r="P208" s="46"/>
      <c r="Q208" s="367"/>
      <c r="R208" s="46"/>
      <c r="S208" s="88">
        <f t="shared" si="14"/>
        <v>0</v>
      </c>
      <c r="T208" s="376"/>
      <c r="U208" s="46"/>
    </row>
    <row r="209" spans="1:21" x14ac:dyDescent="0.2">
      <c r="A209" s="8">
        <f t="shared" si="13"/>
        <v>199</v>
      </c>
      <c r="B209" s="933"/>
      <c r="C209" s="933"/>
      <c r="D209" s="43"/>
      <c r="E209" s="39"/>
      <c r="F209" s="365"/>
      <c r="G209" s="46"/>
      <c r="H209" s="367"/>
      <c r="I209" s="46"/>
      <c r="J209" s="88">
        <f t="shared" si="12"/>
        <v>0</v>
      </c>
      <c r="K209" s="371"/>
      <c r="L209" s="46"/>
      <c r="M209" s="41"/>
      <c r="N209" s="363"/>
      <c r="O209" s="43"/>
      <c r="P209" s="46"/>
      <c r="Q209" s="367"/>
      <c r="R209" s="46"/>
      <c r="S209" s="88">
        <f t="shared" si="14"/>
        <v>0</v>
      </c>
      <c r="T209" s="376"/>
      <c r="U209" s="46"/>
    </row>
    <row r="210" spans="1:21" x14ac:dyDescent="0.2">
      <c r="A210" s="8">
        <f t="shared" si="13"/>
        <v>200</v>
      </c>
      <c r="B210" s="933"/>
      <c r="C210" s="933"/>
      <c r="D210" s="43"/>
      <c r="E210" s="39"/>
      <c r="F210" s="365"/>
      <c r="G210" s="46"/>
      <c r="H210" s="367"/>
      <c r="I210" s="46"/>
      <c r="J210" s="88">
        <f t="shared" si="12"/>
        <v>0</v>
      </c>
      <c r="K210" s="371"/>
      <c r="L210" s="46"/>
      <c r="M210" s="41"/>
      <c r="N210" s="363"/>
      <c r="O210" s="43"/>
      <c r="P210" s="46"/>
      <c r="Q210" s="367"/>
      <c r="R210" s="46"/>
      <c r="S210" s="88">
        <f t="shared" si="14"/>
        <v>0</v>
      </c>
      <c r="T210" s="376"/>
      <c r="U210" s="46"/>
    </row>
    <row r="211" spans="1:21" x14ac:dyDescent="0.2">
      <c r="A211" s="8">
        <f t="shared" si="13"/>
        <v>201</v>
      </c>
      <c r="B211" s="933"/>
      <c r="C211" s="933"/>
      <c r="D211" s="43"/>
      <c r="E211" s="39"/>
      <c r="F211" s="365"/>
      <c r="G211" s="46"/>
      <c r="H211" s="367"/>
      <c r="I211" s="46"/>
      <c r="J211" s="88">
        <f t="shared" si="12"/>
        <v>0</v>
      </c>
      <c r="K211" s="371"/>
      <c r="L211" s="46"/>
      <c r="M211" s="41"/>
      <c r="N211" s="363"/>
      <c r="O211" s="43"/>
      <c r="P211" s="46"/>
      <c r="Q211" s="367"/>
      <c r="R211" s="46"/>
      <c r="S211" s="88">
        <f t="shared" si="14"/>
        <v>0</v>
      </c>
      <c r="T211" s="376"/>
      <c r="U211" s="46"/>
    </row>
    <row r="212" spans="1:21" x14ac:dyDescent="0.2">
      <c r="A212" s="8">
        <f t="shared" si="13"/>
        <v>202</v>
      </c>
      <c r="B212" s="933"/>
      <c r="C212" s="933"/>
      <c r="D212" s="43"/>
      <c r="E212" s="39"/>
      <c r="F212" s="365"/>
      <c r="G212" s="46"/>
      <c r="H212" s="367"/>
      <c r="I212" s="46"/>
      <c r="J212" s="88">
        <f t="shared" si="12"/>
        <v>0</v>
      </c>
      <c r="K212" s="371"/>
      <c r="L212" s="46"/>
      <c r="M212" s="41"/>
      <c r="N212" s="363"/>
      <c r="O212" s="43"/>
      <c r="P212" s="46"/>
      <c r="Q212" s="367"/>
      <c r="R212" s="46"/>
      <c r="S212" s="88">
        <f t="shared" si="14"/>
        <v>0</v>
      </c>
      <c r="T212" s="376"/>
      <c r="U212" s="46"/>
    </row>
    <row r="213" spans="1:21" x14ac:dyDescent="0.2">
      <c r="A213" s="8">
        <f t="shared" si="13"/>
        <v>203</v>
      </c>
      <c r="B213" s="933"/>
      <c r="C213" s="933"/>
      <c r="D213" s="43"/>
      <c r="E213" s="39"/>
      <c r="F213" s="365"/>
      <c r="G213" s="46"/>
      <c r="H213" s="367"/>
      <c r="I213" s="46"/>
      <c r="J213" s="88">
        <f t="shared" si="12"/>
        <v>0</v>
      </c>
      <c r="K213" s="371"/>
      <c r="L213" s="46"/>
      <c r="M213" s="41"/>
      <c r="N213" s="363"/>
      <c r="O213" s="43"/>
      <c r="P213" s="46"/>
      <c r="Q213" s="367"/>
      <c r="R213" s="46"/>
      <c r="S213" s="88">
        <f t="shared" si="14"/>
        <v>0</v>
      </c>
      <c r="T213" s="376"/>
      <c r="U213" s="46"/>
    </row>
    <row r="214" spans="1:21" x14ac:dyDescent="0.2">
      <c r="A214" s="8">
        <f t="shared" si="13"/>
        <v>204</v>
      </c>
      <c r="B214" s="933"/>
      <c r="C214" s="933"/>
      <c r="D214" s="43"/>
      <c r="E214" s="39"/>
      <c r="F214" s="365"/>
      <c r="G214" s="46"/>
      <c r="H214" s="367"/>
      <c r="I214" s="46"/>
      <c r="J214" s="88">
        <f t="shared" si="12"/>
        <v>0</v>
      </c>
      <c r="K214" s="371"/>
      <c r="L214" s="46"/>
      <c r="M214" s="41"/>
      <c r="N214" s="363"/>
      <c r="O214" s="43"/>
      <c r="P214" s="46"/>
      <c r="Q214" s="367"/>
      <c r="R214" s="46"/>
      <c r="S214" s="88">
        <f t="shared" si="14"/>
        <v>0</v>
      </c>
      <c r="T214" s="376"/>
      <c r="U214" s="46"/>
    </row>
    <row r="215" spans="1:21" x14ac:dyDescent="0.2">
      <c r="A215" s="8">
        <f t="shared" si="13"/>
        <v>205</v>
      </c>
      <c r="B215" s="933"/>
      <c r="C215" s="933"/>
      <c r="D215" s="43"/>
      <c r="E215" s="39"/>
      <c r="F215" s="365"/>
      <c r="G215" s="46"/>
      <c r="H215" s="367"/>
      <c r="I215" s="46"/>
      <c r="J215" s="88">
        <f t="shared" si="12"/>
        <v>0</v>
      </c>
      <c r="K215" s="371"/>
      <c r="L215" s="46"/>
      <c r="M215" s="41"/>
      <c r="N215" s="363"/>
      <c r="O215" s="43"/>
      <c r="P215" s="46"/>
      <c r="Q215" s="367"/>
      <c r="R215" s="46"/>
      <c r="S215" s="88">
        <f t="shared" si="14"/>
        <v>0</v>
      </c>
      <c r="T215" s="376"/>
      <c r="U215" s="46"/>
    </row>
    <row r="216" spans="1:21" x14ac:dyDescent="0.2">
      <c r="A216" s="8">
        <f t="shared" si="13"/>
        <v>206</v>
      </c>
      <c r="B216" s="933"/>
      <c r="C216" s="933"/>
      <c r="D216" s="43"/>
      <c r="E216" s="39"/>
      <c r="F216" s="365"/>
      <c r="G216" s="46"/>
      <c r="H216" s="367"/>
      <c r="I216" s="46"/>
      <c r="J216" s="88">
        <f t="shared" si="12"/>
        <v>0</v>
      </c>
      <c r="K216" s="371"/>
      <c r="L216" s="46"/>
      <c r="M216" s="41"/>
      <c r="N216" s="363"/>
      <c r="O216" s="43"/>
      <c r="P216" s="46"/>
      <c r="Q216" s="367"/>
      <c r="R216" s="46"/>
      <c r="S216" s="88">
        <f t="shared" si="14"/>
        <v>0</v>
      </c>
      <c r="T216" s="376"/>
      <c r="U216" s="46"/>
    </row>
    <row r="217" spans="1:21" x14ac:dyDescent="0.2">
      <c r="A217" s="8">
        <f t="shared" si="13"/>
        <v>207</v>
      </c>
      <c r="B217" s="933"/>
      <c r="C217" s="933"/>
      <c r="D217" s="43"/>
      <c r="E217" s="39"/>
      <c r="F217" s="365"/>
      <c r="G217" s="46"/>
      <c r="H217" s="367"/>
      <c r="I217" s="46"/>
      <c r="J217" s="88">
        <f t="shared" si="12"/>
        <v>0</v>
      </c>
      <c r="K217" s="371"/>
      <c r="L217" s="46"/>
      <c r="M217" s="41"/>
      <c r="N217" s="363"/>
      <c r="O217" s="43"/>
      <c r="P217" s="46"/>
      <c r="Q217" s="367"/>
      <c r="R217" s="46"/>
      <c r="S217" s="88">
        <f t="shared" si="14"/>
        <v>0</v>
      </c>
      <c r="T217" s="376"/>
      <c r="U217" s="46"/>
    </row>
    <row r="218" spans="1:21" x14ac:dyDescent="0.2">
      <c r="A218" s="8">
        <f t="shared" si="13"/>
        <v>208</v>
      </c>
      <c r="B218" s="933"/>
      <c r="C218" s="933"/>
      <c r="D218" s="43"/>
      <c r="E218" s="39"/>
      <c r="F218" s="365"/>
      <c r="G218" s="46"/>
      <c r="H218" s="367"/>
      <c r="I218" s="46"/>
      <c r="J218" s="88">
        <f t="shared" si="12"/>
        <v>0</v>
      </c>
      <c r="K218" s="371"/>
      <c r="L218" s="46"/>
      <c r="M218" s="41"/>
      <c r="N218" s="363"/>
      <c r="O218" s="43"/>
      <c r="P218" s="46"/>
      <c r="Q218" s="367"/>
      <c r="R218" s="46"/>
      <c r="S218" s="88">
        <f t="shared" si="14"/>
        <v>0</v>
      </c>
      <c r="T218" s="376"/>
      <c r="U218" s="46"/>
    </row>
    <row r="219" spans="1:21" x14ac:dyDescent="0.2">
      <c r="A219" s="8">
        <f t="shared" si="13"/>
        <v>209</v>
      </c>
      <c r="B219" s="933"/>
      <c r="C219" s="933"/>
      <c r="D219" s="43"/>
      <c r="E219" s="39"/>
      <c r="F219" s="365"/>
      <c r="G219" s="46"/>
      <c r="H219" s="367"/>
      <c r="I219" s="46"/>
      <c r="J219" s="88">
        <f t="shared" si="12"/>
        <v>0</v>
      </c>
      <c r="K219" s="371"/>
      <c r="L219" s="46"/>
      <c r="M219" s="41"/>
      <c r="N219" s="363"/>
      <c r="O219" s="43"/>
      <c r="P219" s="46"/>
      <c r="Q219" s="367"/>
      <c r="R219" s="46"/>
      <c r="S219" s="88">
        <f t="shared" si="14"/>
        <v>0</v>
      </c>
      <c r="T219" s="376"/>
      <c r="U219" s="46"/>
    </row>
    <row r="220" spans="1:21" x14ac:dyDescent="0.2">
      <c r="A220" s="8">
        <f t="shared" si="13"/>
        <v>210</v>
      </c>
      <c r="B220" s="933"/>
      <c r="C220" s="933"/>
      <c r="D220" s="43"/>
      <c r="E220" s="39"/>
      <c r="F220" s="365"/>
      <c r="G220" s="46"/>
      <c r="H220" s="367"/>
      <c r="I220" s="46"/>
      <c r="J220" s="88">
        <f t="shared" si="12"/>
        <v>0</v>
      </c>
      <c r="K220" s="371"/>
      <c r="L220" s="46"/>
      <c r="M220" s="41"/>
      <c r="N220" s="363"/>
      <c r="O220" s="43"/>
      <c r="P220" s="46"/>
      <c r="Q220" s="367"/>
      <c r="R220" s="46"/>
      <c r="S220" s="88">
        <f t="shared" si="14"/>
        <v>0</v>
      </c>
      <c r="T220" s="376"/>
      <c r="U220" s="46"/>
    </row>
    <row r="221" spans="1:21" x14ac:dyDescent="0.2">
      <c r="A221" s="8">
        <f t="shared" si="13"/>
        <v>211</v>
      </c>
      <c r="B221" s="933"/>
      <c r="C221" s="933"/>
      <c r="D221" s="43"/>
      <c r="E221" s="39"/>
      <c r="F221" s="365"/>
      <c r="G221" s="46"/>
      <c r="H221" s="367"/>
      <c r="I221" s="46"/>
      <c r="J221" s="88">
        <f t="shared" si="12"/>
        <v>0</v>
      </c>
      <c r="K221" s="371"/>
      <c r="L221" s="46"/>
      <c r="M221" s="41"/>
      <c r="N221" s="363"/>
      <c r="O221" s="43"/>
      <c r="P221" s="46"/>
      <c r="Q221" s="367"/>
      <c r="R221" s="46"/>
      <c r="S221" s="88">
        <f t="shared" si="14"/>
        <v>0</v>
      </c>
      <c r="T221" s="376"/>
      <c r="U221" s="46"/>
    </row>
    <row r="222" spans="1:21" x14ac:dyDescent="0.2">
      <c r="A222" s="8">
        <f t="shared" si="13"/>
        <v>212</v>
      </c>
      <c r="B222" s="933"/>
      <c r="C222" s="933"/>
      <c r="D222" s="43"/>
      <c r="E222" s="39"/>
      <c r="F222" s="365"/>
      <c r="G222" s="46"/>
      <c r="H222" s="367"/>
      <c r="I222" s="46"/>
      <c r="J222" s="88">
        <f t="shared" si="12"/>
        <v>0</v>
      </c>
      <c r="K222" s="371"/>
      <c r="L222" s="46"/>
      <c r="M222" s="41"/>
      <c r="N222" s="363"/>
      <c r="O222" s="43"/>
      <c r="P222" s="46"/>
      <c r="Q222" s="367"/>
      <c r="R222" s="46"/>
      <c r="S222" s="88">
        <f t="shared" si="14"/>
        <v>0</v>
      </c>
      <c r="T222" s="376"/>
      <c r="U222" s="46"/>
    </row>
    <row r="223" spans="1:21" x14ac:dyDescent="0.2">
      <c r="A223" s="8">
        <f t="shared" si="13"/>
        <v>213</v>
      </c>
      <c r="B223" s="933"/>
      <c r="C223" s="933"/>
      <c r="D223" s="43"/>
      <c r="E223" s="39"/>
      <c r="F223" s="365"/>
      <c r="G223" s="46"/>
      <c r="H223" s="367"/>
      <c r="I223" s="46"/>
      <c r="J223" s="88">
        <f t="shared" si="12"/>
        <v>0</v>
      </c>
      <c r="K223" s="371"/>
      <c r="L223" s="46"/>
      <c r="M223" s="41"/>
      <c r="N223" s="363"/>
      <c r="O223" s="43"/>
      <c r="P223" s="46"/>
      <c r="Q223" s="367"/>
      <c r="R223" s="46"/>
      <c r="S223" s="88">
        <f t="shared" si="14"/>
        <v>0</v>
      </c>
      <c r="T223" s="376"/>
      <c r="U223" s="46"/>
    </row>
    <row r="224" spans="1:21" x14ac:dyDescent="0.2">
      <c r="A224" s="8">
        <f t="shared" si="13"/>
        <v>214</v>
      </c>
      <c r="B224" s="933"/>
      <c r="C224" s="933"/>
      <c r="D224" s="43"/>
      <c r="E224" s="39"/>
      <c r="F224" s="365"/>
      <c r="G224" s="46"/>
      <c r="H224" s="367"/>
      <c r="I224" s="46"/>
      <c r="J224" s="88">
        <f t="shared" si="12"/>
        <v>0</v>
      </c>
      <c r="K224" s="371"/>
      <c r="L224" s="46"/>
      <c r="M224" s="41"/>
      <c r="N224" s="363"/>
      <c r="O224" s="43"/>
      <c r="P224" s="46"/>
      <c r="Q224" s="367"/>
      <c r="R224" s="46"/>
      <c r="S224" s="88">
        <f t="shared" si="14"/>
        <v>0</v>
      </c>
      <c r="T224" s="376"/>
      <c r="U224" s="46"/>
    </row>
    <row r="225" spans="1:21" x14ac:dyDescent="0.2">
      <c r="A225" s="8">
        <f t="shared" si="13"/>
        <v>215</v>
      </c>
      <c r="B225" s="933"/>
      <c r="C225" s="933"/>
      <c r="D225" s="43"/>
      <c r="E225" s="39"/>
      <c r="F225" s="365"/>
      <c r="G225" s="46"/>
      <c r="H225" s="367"/>
      <c r="I225" s="46"/>
      <c r="J225" s="88">
        <f t="shared" si="12"/>
        <v>0</v>
      </c>
      <c r="K225" s="371"/>
      <c r="L225" s="46"/>
      <c r="M225" s="41"/>
      <c r="N225" s="363"/>
      <c r="O225" s="43"/>
      <c r="P225" s="46"/>
      <c r="Q225" s="367"/>
      <c r="R225" s="46"/>
      <c r="S225" s="88">
        <f t="shared" si="14"/>
        <v>0</v>
      </c>
      <c r="T225" s="376"/>
      <c r="U225" s="46"/>
    </row>
    <row r="226" spans="1:21" x14ac:dyDescent="0.2">
      <c r="A226" s="8">
        <f t="shared" si="13"/>
        <v>216</v>
      </c>
      <c r="B226" s="933"/>
      <c r="C226" s="933"/>
      <c r="D226" s="43"/>
      <c r="E226" s="39"/>
      <c r="F226" s="365"/>
      <c r="G226" s="46"/>
      <c r="H226" s="367"/>
      <c r="I226" s="46"/>
      <c r="J226" s="88">
        <f t="shared" si="12"/>
        <v>0</v>
      </c>
      <c r="K226" s="371"/>
      <c r="L226" s="46"/>
      <c r="M226" s="41"/>
      <c r="N226" s="363"/>
      <c r="O226" s="43"/>
      <c r="P226" s="46"/>
      <c r="Q226" s="367"/>
      <c r="R226" s="46"/>
      <c r="S226" s="88">
        <f t="shared" si="14"/>
        <v>0</v>
      </c>
      <c r="T226" s="376"/>
      <c r="U226" s="46"/>
    </row>
    <row r="227" spans="1:21" x14ac:dyDescent="0.2">
      <c r="A227" s="8">
        <f t="shared" si="13"/>
        <v>217</v>
      </c>
      <c r="B227" s="933"/>
      <c r="C227" s="933"/>
      <c r="D227" s="43"/>
      <c r="E227" s="39"/>
      <c r="F227" s="365"/>
      <c r="G227" s="46"/>
      <c r="H227" s="367"/>
      <c r="I227" s="46"/>
      <c r="J227" s="88">
        <f t="shared" si="12"/>
        <v>0</v>
      </c>
      <c r="K227" s="371"/>
      <c r="L227" s="46"/>
      <c r="M227" s="41"/>
      <c r="N227" s="363"/>
      <c r="O227" s="43"/>
      <c r="P227" s="46"/>
      <c r="Q227" s="367"/>
      <c r="R227" s="46"/>
      <c r="S227" s="88">
        <f t="shared" si="14"/>
        <v>0</v>
      </c>
      <c r="T227" s="376"/>
      <c r="U227" s="46"/>
    </row>
    <row r="228" spans="1:21" x14ac:dyDescent="0.2">
      <c r="A228" s="8">
        <f t="shared" si="13"/>
        <v>218</v>
      </c>
      <c r="B228" s="933"/>
      <c r="C228" s="933"/>
      <c r="D228" s="43"/>
      <c r="E228" s="39"/>
      <c r="F228" s="365"/>
      <c r="G228" s="46"/>
      <c r="H228" s="367"/>
      <c r="I228" s="46"/>
      <c r="J228" s="88">
        <f t="shared" si="12"/>
        <v>0</v>
      </c>
      <c r="K228" s="371"/>
      <c r="L228" s="46"/>
      <c r="M228" s="41"/>
      <c r="N228" s="363"/>
      <c r="O228" s="43"/>
      <c r="P228" s="46"/>
      <c r="Q228" s="367"/>
      <c r="R228" s="46"/>
      <c r="S228" s="88">
        <f t="shared" si="14"/>
        <v>0</v>
      </c>
      <c r="T228" s="376"/>
      <c r="U228" s="46"/>
    </row>
    <row r="229" spans="1:21" x14ac:dyDescent="0.2">
      <c r="A229" s="8">
        <f t="shared" si="13"/>
        <v>219</v>
      </c>
      <c r="B229" s="933"/>
      <c r="C229" s="933"/>
      <c r="D229" s="43"/>
      <c r="E229" s="39"/>
      <c r="F229" s="365"/>
      <c r="G229" s="46"/>
      <c r="H229" s="367"/>
      <c r="I229" s="46"/>
      <c r="J229" s="88">
        <f t="shared" si="12"/>
        <v>0</v>
      </c>
      <c r="K229" s="371"/>
      <c r="L229" s="46"/>
      <c r="M229" s="41"/>
      <c r="N229" s="363"/>
      <c r="O229" s="43"/>
      <c r="P229" s="46"/>
      <c r="Q229" s="367"/>
      <c r="R229" s="46"/>
      <c r="S229" s="88">
        <f t="shared" si="14"/>
        <v>0</v>
      </c>
      <c r="T229" s="376"/>
      <c r="U229" s="46"/>
    </row>
    <row r="230" spans="1:21" x14ac:dyDescent="0.2">
      <c r="A230" s="8">
        <f t="shared" si="13"/>
        <v>220</v>
      </c>
      <c r="B230" s="933"/>
      <c r="C230" s="933"/>
      <c r="D230" s="43"/>
      <c r="E230" s="39"/>
      <c r="F230" s="365"/>
      <c r="G230" s="46"/>
      <c r="H230" s="367"/>
      <c r="I230" s="46"/>
      <c r="J230" s="88">
        <f t="shared" si="12"/>
        <v>0</v>
      </c>
      <c r="K230" s="371"/>
      <c r="L230" s="46"/>
      <c r="M230" s="41"/>
      <c r="N230" s="363"/>
      <c r="O230" s="43"/>
      <c r="P230" s="46"/>
      <c r="Q230" s="367"/>
      <c r="R230" s="46"/>
      <c r="S230" s="88">
        <f t="shared" si="14"/>
        <v>0</v>
      </c>
      <c r="T230" s="376"/>
      <c r="U230" s="46"/>
    </row>
    <row r="231" spans="1:21" x14ac:dyDescent="0.2">
      <c r="A231" s="8">
        <f t="shared" si="13"/>
        <v>221</v>
      </c>
      <c r="B231" s="933"/>
      <c r="C231" s="933"/>
      <c r="D231" s="43"/>
      <c r="E231" s="39"/>
      <c r="F231" s="365"/>
      <c r="G231" s="46"/>
      <c r="H231" s="367"/>
      <c r="I231" s="46"/>
      <c r="J231" s="88">
        <f t="shared" si="12"/>
        <v>0</v>
      </c>
      <c r="K231" s="371"/>
      <c r="L231" s="46"/>
      <c r="M231" s="41"/>
      <c r="N231" s="363"/>
      <c r="O231" s="43"/>
      <c r="P231" s="46"/>
      <c r="Q231" s="367"/>
      <c r="R231" s="46"/>
      <c r="S231" s="88">
        <f t="shared" si="14"/>
        <v>0</v>
      </c>
      <c r="T231" s="376"/>
      <c r="U231" s="46"/>
    </row>
    <row r="232" spans="1:21" x14ac:dyDescent="0.2">
      <c r="A232" s="8">
        <f t="shared" si="13"/>
        <v>222</v>
      </c>
      <c r="B232" s="933"/>
      <c r="C232" s="933"/>
      <c r="D232" s="43"/>
      <c r="E232" s="39"/>
      <c r="F232" s="365"/>
      <c r="G232" s="46"/>
      <c r="H232" s="367"/>
      <c r="I232" s="46"/>
      <c r="J232" s="88">
        <f t="shared" si="12"/>
        <v>0</v>
      </c>
      <c r="K232" s="371"/>
      <c r="L232" s="46"/>
      <c r="M232" s="41"/>
      <c r="N232" s="363"/>
      <c r="O232" s="43"/>
      <c r="P232" s="46"/>
      <c r="Q232" s="367"/>
      <c r="R232" s="46"/>
      <c r="S232" s="88">
        <f t="shared" si="14"/>
        <v>0</v>
      </c>
      <c r="T232" s="376"/>
      <c r="U232" s="46"/>
    </row>
    <row r="233" spans="1:21" x14ac:dyDescent="0.2">
      <c r="A233" s="8">
        <f t="shared" si="13"/>
        <v>223</v>
      </c>
      <c r="B233" s="933"/>
      <c r="C233" s="933"/>
      <c r="D233" s="43"/>
      <c r="E233" s="39"/>
      <c r="F233" s="365"/>
      <c r="G233" s="46"/>
      <c r="H233" s="367"/>
      <c r="I233" s="46"/>
      <c r="J233" s="88">
        <f t="shared" si="12"/>
        <v>0</v>
      </c>
      <c r="K233" s="371"/>
      <c r="L233" s="46"/>
      <c r="M233" s="41"/>
      <c r="N233" s="363"/>
      <c r="O233" s="43"/>
      <c r="P233" s="46"/>
      <c r="Q233" s="367"/>
      <c r="R233" s="46"/>
      <c r="S233" s="88">
        <f t="shared" si="14"/>
        <v>0</v>
      </c>
      <c r="T233" s="376"/>
      <c r="U233" s="46"/>
    </row>
    <row r="234" spans="1:21" x14ac:dyDescent="0.2">
      <c r="A234" s="8">
        <f t="shared" si="13"/>
        <v>224</v>
      </c>
      <c r="B234" s="933"/>
      <c r="C234" s="933"/>
      <c r="D234" s="43"/>
      <c r="E234" s="39"/>
      <c r="F234" s="365"/>
      <c r="G234" s="46"/>
      <c r="H234" s="367"/>
      <c r="I234" s="46"/>
      <c r="J234" s="88">
        <f t="shared" si="12"/>
        <v>0</v>
      </c>
      <c r="K234" s="371"/>
      <c r="L234" s="46"/>
      <c r="M234" s="41"/>
      <c r="N234" s="363"/>
      <c r="O234" s="43"/>
      <c r="P234" s="46"/>
      <c r="Q234" s="367"/>
      <c r="R234" s="46"/>
      <c r="S234" s="88">
        <f t="shared" si="14"/>
        <v>0</v>
      </c>
      <c r="T234" s="376"/>
      <c r="U234" s="46"/>
    </row>
    <row r="235" spans="1:21" x14ac:dyDescent="0.2">
      <c r="A235" s="8">
        <f t="shared" si="13"/>
        <v>225</v>
      </c>
      <c r="B235" s="933"/>
      <c r="C235" s="933"/>
      <c r="D235" s="43"/>
      <c r="E235" s="39"/>
      <c r="F235" s="365"/>
      <c r="G235" s="46"/>
      <c r="H235" s="367"/>
      <c r="I235" s="46"/>
      <c r="J235" s="88">
        <f t="shared" si="12"/>
        <v>0</v>
      </c>
      <c r="K235" s="371"/>
      <c r="L235" s="46"/>
      <c r="M235" s="41"/>
      <c r="N235" s="363"/>
      <c r="O235" s="43"/>
      <c r="P235" s="46"/>
      <c r="Q235" s="367"/>
      <c r="R235" s="46"/>
      <c r="S235" s="88">
        <f t="shared" si="14"/>
        <v>0</v>
      </c>
      <c r="T235" s="376"/>
      <c r="U235" s="46"/>
    </row>
    <row r="236" spans="1:21" x14ac:dyDescent="0.2">
      <c r="A236" s="8">
        <f t="shared" si="13"/>
        <v>226</v>
      </c>
      <c r="B236" s="933"/>
      <c r="C236" s="933"/>
      <c r="D236" s="43"/>
      <c r="E236" s="39"/>
      <c r="F236" s="365"/>
      <c r="G236" s="46"/>
      <c r="H236" s="367"/>
      <c r="I236" s="46"/>
      <c r="J236" s="88">
        <f t="shared" si="12"/>
        <v>0</v>
      </c>
      <c r="K236" s="371"/>
      <c r="L236" s="46"/>
      <c r="M236" s="41"/>
      <c r="N236" s="363"/>
      <c r="O236" s="43"/>
      <c r="P236" s="46"/>
      <c r="Q236" s="367"/>
      <c r="R236" s="46"/>
      <c r="S236" s="88">
        <f t="shared" si="14"/>
        <v>0</v>
      </c>
      <c r="T236" s="376"/>
      <c r="U236" s="46"/>
    </row>
    <row r="237" spans="1:21" x14ac:dyDescent="0.2">
      <c r="A237" s="8">
        <f t="shared" si="13"/>
        <v>227</v>
      </c>
      <c r="B237" s="933"/>
      <c r="C237" s="933"/>
      <c r="D237" s="43"/>
      <c r="E237" s="39"/>
      <c r="F237" s="365"/>
      <c r="G237" s="46"/>
      <c r="H237" s="367"/>
      <c r="I237" s="46"/>
      <c r="J237" s="88">
        <f t="shared" si="12"/>
        <v>0</v>
      </c>
      <c r="K237" s="371"/>
      <c r="L237" s="46"/>
      <c r="M237" s="41"/>
      <c r="N237" s="363"/>
      <c r="O237" s="43"/>
      <c r="P237" s="46"/>
      <c r="Q237" s="367"/>
      <c r="R237" s="46"/>
      <c r="S237" s="88">
        <f t="shared" si="14"/>
        <v>0</v>
      </c>
      <c r="T237" s="376"/>
      <c r="U237" s="46"/>
    </row>
    <row r="238" spans="1:21" x14ac:dyDescent="0.2">
      <c r="A238" s="8">
        <f t="shared" si="13"/>
        <v>228</v>
      </c>
      <c r="B238" s="933"/>
      <c r="C238" s="933"/>
      <c r="D238" s="43"/>
      <c r="E238" s="39"/>
      <c r="F238" s="365"/>
      <c r="G238" s="46"/>
      <c r="H238" s="367"/>
      <c r="I238" s="46"/>
      <c r="J238" s="88">
        <f t="shared" si="12"/>
        <v>0</v>
      </c>
      <c r="K238" s="371"/>
      <c r="L238" s="46"/>
      <c r="M238" s="41"/>
      <c r="N238" s="363"/>
      <c r="O238" s="43"/>
      <c r="P238" s="46"/>
      <c r="Q238" s="367"/>
      <c r="R238" s="46"/>
      <c r="S238" s="88">
        <f t="shared" si="14"/>
        <v>0</v>
      </c>
      <c r="T238" s="376"/>
      <c r="U238" s="46"/>
    </row>
    <row r="239" spans="1:21" x14ac:dyDescent="0.2">
      <c r="A239" s="8">
        <f t="shared" si="13"/>
        <v>229</v>
      </c>
      <c r="B239" s="933"/>
      <c r="C239" s="933"/>
      <c r="D239" s="43"/>
      <c r="E239" s="39"/>
      <c r="F239" s="365"/>
      <c r="G239" s="46"/>
      <c r="H239" s="367"/>
      <c r="I239" s="46"/>
      <c r="J239" s="88">
        <f t="shared" si="12"/>
        <v>0</v>
      </c>
      <c r="K239" s="371"/>
      <c r="L239" s="46"/>
      <c r="M239" s="41"/>
      <c r="N239" s="363"/>
      <c r="O239" s="43"/>
      <c r="P239" s="46"/>
      <c r="Q239" s="367"/>
      <c r="R239" s="46"/>
      <c r="S239" s="88">
        <f t="shared" si="14"/>
        <v>0</v>
      </c>
      <c r="T239" s="376"/>
      <c r="U239" s="46"/>
    </row>
    <row r="240" spans="1:21" x14ac:dyDescent="0.2">
      <c r="A240" s="8">
        <f t="shared" si="13"/>
        <v>230</v>
      </c>
      <c r="B240" s="933"/>
      <c r="C240" s="933"/>
      <c r="D240" s="43"/>
      <c r="E240" s="39"/>
      <c r="F240" s="365"/>
      <c r="G240" s="46"/>
      <c r="H240" s="367"/>
      <c r="I240" s="46"/>
      <c r="J240" s="88">
        <f t="shared" si="12"/>
        <v>0</v>
      </c>
      <c r="K240" s="371"/>
      <c r="L240" s="46"/>
      <c r="M240" s="41"/>
      <c r="N240" s="363"/>
      <c r="O240" s="43"/>
      <c r="P240" s="46"/>
      <c r="Q240" s="367"/>
      <c r="R240" s="46"/>
      <c r="S240" s="88">
        <f t="shared" si="14"/>
        <v>0</v>
      </c>
      <c r="T240" s="376"/>
      <c r="U240" s="46"/>
    </row>
    <row r="241" spans="1:21" x14ac:dyDescent="0.2">
      <c r="A241" s="8">
        <f t="shared" si="13"/>
        <v>231</v>
      </c>
      <c r="B241" s="933"/>
      <c r="C241" s="933"/>
      <c r="D241" s="43"/>
      <c r="E241" s="39"/>
      <c r="F241" s="365"/>
      <c r="G241" s="46"/>
      <c r="H241" s="367"/>
      <c r="I241" s="46"/>
      <c r="J241" s="88">
        <f t="shared" si="12"/>
        <v>0</v>
      </c>
      <c r="K241" s="371"/>
      <c r="L241" s="46"/>
      <c r="M241" s="41"/>
      <c r="N241" s="363"/>
      <c r="O241" s="43"/>
      <c r="P241" s="46"/>
      <c r="Q241" s="367"/>
      <c r="R241" s="46"/>
      <c r="S241" s="88">
        <f t="shared" si="14"/>
        <v>0</v>
      </c>
      <c r="T241" s="376"/>
      <c r="U241" s="46"/>
    </row>
    <row r="242" spans="1:21" x14ac:dyDescent="0.2">
      <c r="A242" s="8">
        <f t="shared" si="13"/>
        <v>232</v>
      </c>
      <c r="B242" s="933"/>
      <c r="C242" s="933"/>
      <c r="D242" s="43"/>
      <c r="E242" s="39"/>
      <c r="F242" s="365"/>
      <c r="G242" s="46"/>
      <c r="H242" s="367"/>
      <c r="I242" s="46"/>
      <c r="J242" s="88">
        <f t="shared" si="12"/>
        <v>0</v>
      </c>
      <c r="K242" s="371"/>
      <c r="L242" s="46"/>
      <c r="M242" s="41"/>
      <c r="N242" s="363"/>
      <c r="O242" s="43"/>
      <c r="P242" s="46"/>
      <c r="Q242" s="367"/>
      <c r="R242" s="46"/>
      <c r="S242" s="88">
        <f t="shared" si="14"/>
        <v>0</v>
      </c>
      <c r="T242" s="376"/>
      <c r="U242" s="46"/>
    </row>
    <row r="243" spans="1:21" x14ac:dyDescent="0.2">
      <c r="A243" s="8">
        <f t="shared" si="13"/>
        <v>233</v>
      </c>
      <c r="B243" s="933"/>
      <c r="C243" s="933"/>
      <c r="D243" s="43"/>
      <c r="E243" s="39"/>
      <c r="F243" s="365"/>
      <c r="G243" s="46"/>
      <c r="H243" s="367"/>
      <c r="I243" s="46"/>
      <c r="J243" s="88">
        <f t="shared" si="12"/>
        <v>0</v>
      </c>
      <c r="K243" s="371"/>
      <c r="L243" s="46"/>
      <c r="M243" s="41"/>
      <c r="N243" s="363"/>
      <c r="O243" s="43"/>
      <c r="P243" s="46"/>
      <c r="Q243" s="367"/>
      <c r="R243" s="46"/>
      <c r="S243" s="88">
        <f t="shared" si="14"/>
        <v>0</v>
      </c>
      <c r="T243" s="376"/>
      <c r="U243" s="46"/>
    </row>
    <row r="244" spans="1:21" x14ac:dyDescent="0.2">
      <c r="A244" s="8">
        <f t="shared" si="13"/>
        <v>234</v>
      </c>
      <c r="B244" s="933"/>
      <c r="C244" s="933"/>
      <c r="D244" s="43"/>
      <c r="E244" s="39"/>
      <c r="F244" s="365"/>
      <c r="G244" s="46"/>
      <c r="H244" s="367"/>
      <c r="I244" s="46"/>
      <c r="J244" s="88">
        <f t="shared" si="12"/>
        <v>0</v>
      </c>
      <c r="K244" s="371"/>
      <c r="L244" s="46"/>
      <c r="M244" s="41"/>
      <c r="N244" s="363"/>
      <c r="O244" s="43"/>
      <c r="P244" s="46"/>
      <c r="Q244" s="367"/>
      <c r="R244" s="46"/>
      <c r="S244" s="88">
        <f t="shared" si="14"/>
        <v>0</v>
      </c>
      <c r="T244" s="376"/>
      <c r="U244" s="46"/>
    </row>
    <row r="245" spans="1:21" x14ac:dyDescent="0.2">
      <c r="A245" s="8">
        <f t="shared" si="13"/>
        <v>235</v>
      </c>
      <c r="B245" s="933"/>
      <c r="C245" s="933"/>
      <c r="D245" s="43"/>
      <c r="E245" s="39"/>
      <c r="F245" s="365"/>
      <c r="G245" s="46"/>
      <c r="H245" s="367"/>
      <c r="I245" s="46"/>
      <c r="J245" s="88">
        <f t="shared" si="12"/>
        <v>0</v>
      </c>
      <c r="K245" s="371"/>
      <c r="L245" s="46"/>
      <c r="M245" s="41"/>
      <c r="N245" s="363"/>
      <c r="O245" s="43"/>
      <c r="P245" s="46"/>
      <c r="Q245" s="367"/>
      <c r="R245" s="46"/>
      <c r="S245" s="88">
        <f t="shared" si="14"/>
        <v>0</v>
      </c>
      <c r="T245" s="376"/>
      <c r="U245" s="46"/>
    </row>
    <row r="246" spans="1:21" x14ac:dyDescent="0.2">
      <c r="A246" s="8">
        <f t="shared" si="13"/>
        <v>236</v>
      </c>
      <c r="B246" s="933"/>
      <c r="C246" s="933"/>
      <c r="D246" s="43"/>
      <c r="E246" s="39"/>
      <c r="F246" s="365"/>
      <c r="G246" s="46"/>
      <c r="H246" s="367"/>
      <c r="I246" s="46"/>
      <c r="J246" s="88">
        <f t="shared" si="12"/>
        <v>0</v>
      </c>
      <c r="K246" s="371"/>
      <c r="L246" s="46"/>
      <c r="M246" s="41"/>
      <c r="N246" s="363"/>
      <c r="O246" s="43"/>
      <c r="P246" s="46"/>
      <c r="Q246" s="367"/>
      <c r="R246" s="46"/>
      <c r="S246" s="88">
        <f t="shared" si="14"/>
        <v>0</v>
      </c>
      <c r="T246" s="376"/>
      <c r="U246" s="46"/>
    </row>
    <row r="247" spans="1:21" x14ac:dyDescent="0.2">
      <c r="A247" s="8">
        <f t="shared" si="13"/>
        <v>237</v>
      </c>
      <c r="B247" s="933"/>
      <c r="C247" s="933"/>
      <c r="D247" s="43"/>
      <c r="E247" s="39"/>
      <c r="F247" s="365"/>
      <c r="G247" s="46"/>
      <c r="H247" s="367"/>
      <c r="I247" s="46"/>
      <c r="J247" s="88">
        <f t="shared" si="12"/>
        <v>0</v>
      </c>
      <c r="K247" s="371"/>
      <c r="L247" s="46"/>
      <c r="M247" s="41"/>
      <c r="N247" s="363"/>
      <c r="O247" s="43"/>
      <c r="P247" s="46"/>
      <c r="Q247" s="367"/>
      <c r="R247" s="46"/>
      <c r="S247" s="88">
        <f t="shared" si="14"/>
        <v>0</v>
      </c>
      <c r="T247" s="376"/>
      <c r="U247" s="46"/>
    </row>
    <row r="248" spans="1:21" x14ac:dyDescent="0.2">
      <c r="A248" s="8">
        <f t="shared" si="13"/>
        <v>238</v>
      </c>
      <c r="B248" s="933"/>
      <c r="C248" s="933"/>
      <c r="D248" s="43"/>
      <c r="E248" s="39"/>
      <c r="F248" s="365"/>
      <c r="G248" s="46"/>
      <c r="H248" s="367"/>
      <c r="I248" s="46"/>
      <c r="J248" s="88">
        <f t="shared" si="12"/>
        <v>0</v>
      </c>
      <c r="K248" s="371"/>
      <c r="L248" s="46"/>
      <c r="M248" s="41"/>
      <c r="N248" s="363"/>
      <c r="O248" s="43"/>
      <c r="P248" s="46"/>
      <c r="Q248" s="367"/>
      <c r="R248" s="46"/>
      <c r="S248" s="88">
        <f t="shared" si="14"/>
        <v>0</v>
      </c>
      <c r="T248" s="376"/>
      <c r="U248" s="46"/>
    </row>
    <row r="249" spans="1:21" x14ac:dyDescent="0.2">
      <c r="A249" s="8">
        <f t="shared" si="13"/>
        <v>239</v>
      </c>
      <c r="B249" s="933"/>
      <c r="C249" s="933"/>
      <c r="D249" s="43"/>
      <c r="E249" s="39"/>
      <c r="F249" s="365"/>
      <c r="G249" s="46"/>
      <c r="H249" s="367"/>
      <c r="I249" s="46"/>
      <c r="J249" s="88">
        <f t="shared" si="12"/>
        <v>0</v>
      </c>
      <c r="K249" s="371"/>
      <c r="L249" s="46"/>
      <c r="M249" s="41"/>
      <c r="N249" s="363"/>
      <c r="O249" s="43"/>
      <c r="P249" s="46"/>
      <c r="Q249" s="367"/>
      <c r="R249" s="46"/>
      <c r="S249" s="88">
        <f t="shared" si="14"/>
        <v>0</v>
      </c>
      <c r="T249" s="376"/>
      <c r="U249" s="46"/>
    </row>
    <row r="250" spans="1:21" x14ac:dyDescent="0.2">
      <c r="A250" s="8">
        <f t="shared" si="13"/>
        <v>240</v>
      </c>
      <c r="B250" s="933"/>
      <c r="C250" s="933"/>
      <c r="D250" s="43"/>
      <c r="E250" s="39"/>
      <c r="F250" s="365"/>
      <c r="G250" s="46"/>
      <c r="H250" s="367"/>
      <c r="I250" s="46"/>
      <c r="J250" s="88">
        <f t="shared" si="12"/>
        <v>0</v>
      </c>
      <c r="K250" s="371"/>
      <c r="L250" s="46"/>
      <c r="M250" s="41"/>
      <c r="N250" s="363"/>
      <c r="O250" s="43"/>
      <c r="P250" s="46"/>
      <c r="Q250" s="367"/>
      <c r="R250" s="46"/>
      <c r="S250" s="88">
        <f t="shared" si="14"/>
        <v>0</v>
      </c>
      <c r="T250" s="376"/>
      <c r="U250" s="46"/>
    </row>
    <row r="251" spans="1:21" x14ac:dyDescent="0.2">
      <c r="A251" s="8">
        <f t="shared" si="13"/>
        <v>241</v>
      </c>
      <c r="B251" s="933"/>
      <c r="C251" s="933"/>
      <c r="D251" s="43"/>
      <c r="E251" s="39"/>
      <c r="F251" s="365"/>
      <c r="G251" s="46"/>
      <c r="H251" s="367"/>
      <c r="I251" s="46"/>
      <c r="J251" s="88">
        <f t="shared" si="12"/>
        <v>0</v>
      </c>
      <c r="K251" s="371"/>
      <c r="L251" s="46"/>
      <c r="M251" s="41"/>
      <c r="N251" s="363"/>
      <c r="O251" s="43"/>
      <c r="P251" s="46"/>
      <c r="Q251" s="367"/>
      <c r="R251" s="46"/>
      <c r="S251" s="88">
        <f t="shared" si="14"/>
        <v>0</v>
      </c>
      <c r="T251" s="376"/>
      <c r="U251" s="46"/>
    </row>
    <row r="252" spans="1:21" x14ac:dyDescent="0.2">
      <c r="A252" s="8">
        <f t="shared" si="13"/>
        <v>242</v>
      </c>
      <c r="B252" s="933"/>
      <c r="C252" s="933"/>
      <c r="D252" s="43"/>
      <c r="E252" s="39"/>
      <c r="F252" s="365"/>
      <c r="G252" s="46"/>
      <c r="H252" s="367"/>
      <c r="I252" s="46"/>
      <c r="J252" s="88">
        <f t="shared" si="12"/>
        <v>0</v>
      </c>
      <c r="K252" s="371"/>
      <c r="L252" s="46"/>
      <c r="M252" s="41"/>
      <c r="N252" s="363"/>
      <c r="O252" s="43"/>
      <c r="P252" s="46"/>
      <c r="Q252" s="367"/>
      <c r="R252" s="46"/>
      <c r="S252" s="88">
        <f t="shared" si="14"/>
        <v>0</v>
      </c>
      <c r="T252" s="376"/>
      <c r="U252" s="46"/>
    </row>
    <row r="253" spans="1:21" x14ac:dyDescent="0.2">
      <c r="A253" s="8">
        <f t="shared" si="13"/>
        <v>243</v>
      </c>
      <c r="B253" s="933"/>
      <c r="C253" s="933"/>
      <c r="D253" s="43"/>
      <c r="E253" s="39"/>
      <c r="F253" s="365"/>
      <c r="G253" s="46"/>
      <c r="H253" s="367"/>
      <c r="I253" s="46"/>
      <c r="J253" s="88">
        <f t="shared" si="12"/>
        <v>0</v>
      </c>
      <c r="K253" s="371"/>
      <c r="L253" s="46"/>
      <c r="M253" s="41"/>
      <c r="N253" s="363"/>
      <c r="O253" s="43"/>
      <c r="P253" s="46"/>
      <c r="Q253" s="367"/>
      <c r="R253" s="46"/>
      <c r="S253" s="88">
        <f t="shared" si="14"/>
        <v>0</v>
      </c>
      <c r="T253" s="376"/>
      <c r="U253" s="46"/>
    </row>
    <row r="254" spans="1:21" x14ac:dyDescent="0.2">
      <c r="A254" s="8">
        <f t="shared" si="13"/>
        <v>244</v>
      </c>
      <c r="B254" s="933"/>
      <c r="C254" s="933"/>
      <c r="D254" s="43"/>
      <c r="E254" s="39"/>
      <c r="F254" s="365"/>
      <c r="G254" s="46"/>
      <c r="H254" s="367"/>
      <c r="I254" s="46"/>
      <c r="J254" s="88">
        <f t="shared" si="12"/>
        <v>0</v>
      </c>
      <c r="K254" s="371"/>
      <c r="L254" s="46"/>
      <c r="M254" s="41"/>
      <c r="N254" s="363"/>
      <c r="O254" s="43"/>
      <c r="P254" s="46"/>
      <c r="Q254" s="367"/>
      <c r="R254" s="46"/>
      <c r="S254" s="88">
        <f t="shared" si="14"/>
        <v>0</v>
      </c>
      <c r="T254" s="376"/>
      <c r="U254" s="46"/>
    </row>
    <row r="255" spans="1:21" x14ac:dyDescent="0.2">
      <c r="A255" s="8">
        <f t="shared" si="13"/>
        <v>245</v>
      </c>
      <c r="B255" s="933"/>
      <c r="C255" s="933"/>
      <c r="D255" s="43"/>
      <c r="E255" s="39"/>
      <c r="F255" s="365"/>
      <c r="G255" s="46"/>
      <c r="H255" s="367"/>
      <c r="I255" s="46"/>
      <c r="J255" s="88">
        <f t="shared" si="12"/>
        <v>0</v>
      </c>
      <c r="K255" s="371"/>
      <c r="L255" s="46"/>
      <c r="M255" s="41"/>
      <c r="N255" s="363"/>
      <c r="O255" s="43"/>
      <c r="P255" s="46"/>
      <c r="Q255" s="367"/>
      <c r="R255" s="46"/>
      <c r="S255" s="88">
        <f t="shared" si="14"/>
        <v>0</v>
      </c>
      <c r="T255" s="376"/>
      <c r="U255" s="46"/>
    </row>
    <row r="256" spans="1:21" x14ac:dyDescent="0.2">
      <c r="A256" s="8">
        <f t="shared" si="13"/>
        <v>246</v>
      </c>
      <c r="B256" s="933"/>
      <c r="C256" s="933"/>
      <c r="D256" s="43"/>
      <c r="E256" s="39"/>
      <c r="F256" s="365"/>
      <c r="G256" s="46"/>
      <c r="H256" s="367"/>
      <c r="I256" s="46"/>
      <c r="J256" s="88">
        <f t="shared" si="12"/>
        <v>0</v>
      </c>
      <c r="K256" s="371"/>
      <c r="L256" s="46"/>
      <c r="M256" s="41"/>
      <c r="N256" s="363"/>
      <c r="O256" s="43"/>
      <c r="P256" s="46"/>
      <c r="Q256" s="367"/>
      <c r="R256" s="46"/>
      <c r="S256" s="88">
        <f t="shared" si="14"/>
        <v>0</v>
      </c>
      <c r="T256" s="376"/>
      <c r="U256" s="46"/>
    </row>
    <row r="257" spans="1:21" x14ac:dyDescent="0.2">
      <c r="A257" s="8">
        <f t="shared" si="13"/>
        <v>247</v>
      </c>
      <c r="B257" s="933"/>
      <c r="C257" s="933"/>
      <c r="D257" s="43"/>
      <c r="E257" s="39"/>
      <c r="F257" s="365"/>
      <c r="G257" s="46"/>
      <c r="H257" s="367"/>
      <c r="I257" s="46"/>
      <c r="J257" s="88">
        <f t="shared" si="12"/>
        <v>0</v>
      </c>
      <c r="K257" s="371"/>
      <c r="L257" s="46"/>
      <c r="M257" s="41"/>
      <c r="N257" s="363"/>
      <c r="O257" s="43"/>
      <c r="P257" s="46"/>
      <c r="Q257" s="367"/>
      <c r="R257" s="46"/>
      <c r="S257" s="88">
        <f t="shared" si="14"/>
        <v>0</v>
      </c>
      <c r="T257" s="376"/>
      <c r="U257" s="46"/>
    </row>
    <row r="258" spans="1:21" x14ac:dyDescent="0.2">
      <c r="A258" s="8">
        <f t="shared" si="13"/>
        <v>248</v>
      </c>
      <c r="B258" s="933"/>
      <c r="C258" s="933"/>
      <c r="D258" s="43"/>
      <c r="E258" s="39"/>
      <c r="F258" s="365"/>
      <c r="G258" s="46"/>
      <c r="H258" s="367"/>
      <c r="I258" s="46"/>
      <c r="J258" s="88">
        <f t="shared" si="12"/>
        <v>0</v>
      </c>
      <c r="K258" s="371"/>
      <c r="L258" s="46"/>
      <c r="M258" s="41"/>
      <c r="N258" s="363"/>
      <c r="O258" s="43"/>
      <c r="P258" s="46"/>
      <c r="Q258" s="367"/>
      <c r="R258" s="46"/>
      <c r="S258" s="88">
        <f t="shared" si="14"/>
        <v>0</v>
      </c>
      <c r="T258" s="376"/>
      <c r="U258" s="46"/>
    </row>
    <row r="259" spans="1:21" x14ac:dyDescent="0.2">
      <c r="A259" s="8">
        <f t="shared" si="13"/>
        <v>249</v>
      </c>
      <c r="B259" s="933"/>
      <c r="C259" s="933"/>
      <c r="D259" s="43"/>
      <c r="E259" s="39"/>
      <c r="F259" s="365"/>
      <c r="G259" s="46"/>
      <c r="H259" s="367"/>
      <c r="I259" s="46"/>
      <c r="J259" s="88">
        <f t="shared" si="12"/>
        <v>0</v>
      </c>
      <c r="K259" s="371"/>
      <c r="L259" s="46"/>
      <c r="M259" s="41"/>
      <c r="N259" s="363"/>
      <c r="O259" s="43"/>
      <c r="P259" s="46"/>
      <c r="Q259" s="367"/>
      <c r="R259" s="46"/>
      <c r="S259" s="88">
        <f t="shared" si="14"/>
        <v>0</v>
      </c>
      <c r="T259" s="376"/>
      <c r="U259" s="46"/>
    </row>
    <row r="260" spans="1:21" x14ac:dyDescent="0.2">
      <c r="A260" s="8">
        <f t="shared" si="13"/>
        <v>250</v>
      </c>
      <c r="B260" s="933"/>
      <c r="C260" s="933"/>
      <c r="D260" s="43"/>
      <c r="E260" s="39"/>
      <c r="F260" s="365"/>
      <c r="G260" s="46"/>
      <c r="H260" s="367"/>
      <c r="I260" s="46"/>
      <c r="J260" s="88">
        <f t="shared" si="12"/>
        <v>0</v>
      </c>
      <c r="K260" s="371"/>
      <c r="L260" s="46"/>
      <c r="M260" s="41"/>
      <c r="N260" s="363"/>
      <c r="O260" s="43"/>
      <c r="P260" s="46"/>
      <c r="Q260" s="367"/>
      <c r="R260" s="46"/>
      <c r="S260" s="88">
        <f t="shared" si="14"/>
        <v>0</v>
      </c>
      <c r="T260" s="376"/>
      <c r="U260" s="46"/>
    </row>
    <row r="261" spans="1:21" x14ac:dyDescent="0.2">
      <c r="A261" s="8">
        <f t="shared" si="13"/>
        <v>251</v>
      </c>
      <c r="B261" s="933"/>
      <c r="C261" s="933"/>
      <c r="D261" s="43"/>
      <c r="E261" s="39"/>
      <c r="F261" s="365"/>
      <c r="G261" s="46"/>
      <c r="H261" s="367"/>
      <c r="I261" s="46"/>
      <c r="J261" s="88">
        <f t="shared" si="12"/>
        <v>0</v>
      </c>
      <c r="K261" s="371"/>
      <c r="L261" s="46"/>
      <c r="M261" s="41"/>
      <c r="N261" s="363"/>
      <c r="O261" s="43"/>
      <c r="P261" s="46"/>
      <c r="Q261" s="367"/>
      <c r="R261" s="46"/>
      <c r="S261" s="88">
        <f t="shared" si="14"/>
        <v>0</v>
      </c>
      <c r="T261" s="376"/>
      <c r="U261" s="46"/>
    </row>
    <row r="262" spans="1:21" x14ac:dyDescent="0.2">
      <c r="A262" s="8">
        <f t="shared" si="13"/>
        <v>252</v>
      </c>
      <c r="B262" s="933"/>
      <c r="C262" s="933"/>
      <c r="D262" s="43"/>
      <c r="E262" s="39"/>
      <c r="F262" s="365"/>
      <c r="G262" s="46"/>
      <c r="H262" s="367"/>
      <c r="I262" s="46"/>
      <c r="J262" s="88">
        <f t="shared" si="12"/>
        <v>0</v>
      </c>
      <c r="K262" s="371"/>
      <c r="L262" s="46"/>
      <c r="M262" s="41"/>
      <c r="N262" s="363"/>
      <c r="O262" s="43"/>
      <c r="P262" s="46"/>
      <c r="Q262" s="367"/>
      <c r="R262" s="46"/>
      <c r="S262" s="88">
        <f t="shared" si="14"/>
        <v>0</v>
      </c>
      <c r="T262" s="376"/>
      <c r="U262" s="46"/>
    </row>
    <row r="263" spans="1:21" x14ac:dyDescent="0.2">
      <c r="A263" s="8">
        <f t="shared" si="13"/>
        <v>253</v>
      </c>
      <c r="B263" s="933"/>
      <c r="C263" s="933"/>
      <c r="D263" s="43"/>
      <c r="E263" s="39"/>
      <c r="F263" s="365"/>
      <c r="G263" s="46"/>
      <c r="H263" s="367"/>
      <c r="I263" s="46"/>
      <c r="J263" s="88">
        <f t="shared" si="12"/>
        <v>0</v>
      </c>
      <c r="K263" s="371"/>
      <c r="L263" s="46"/>
      <c r="M263" s="41"/>
      <c r="N263" s="363"/>
      <c r="O263" s="43"/>
      <c r="P263" s="46"/>
      <c r="Q263" s="367"/>
      <c r="R263" s="46"/>
      <c r="S263" s="88">
        <f t="shared" si="14"/>
        <v>0</v>
      </c>
      <c r="T263" s="376"/>
      <c r="U263" s="46"/>
    </row>
    <row r="264" spans="1:21" x14ac:dyDescent="0.2">
      <c r="A264" s="8">
        <f t="shared" si="13"/>
        <v>254</v>
      </c>
      <c r="B264" s="933"/>
      <c r="C264" s="933"/>
      <c r="D264" s="43"/>
      <c r="E264" s="39"/>
      <c r="F264" s="365"/>
      <c r="G264" s="46"/>
      <c r="H264" s="367"/>
      <c r="I264" s="46"/>
      <c r="J264" s="88">
        <f t="shared" si="12"/>
        <v>0</v>
      </c>
      <c r="K264" s="371"/>
      <c r="L264" s="46"/>
      <c r="M264" s="41"/>
      <c r="N264" s="363"/>
      <c r="O264" s="43"/>
      <c r="P264" s="46"/>
      <c r="Q264" s="367"/>
      <c r="R264" s="46"/>
      <c r="S264" s="88">
        <f t="shared" si="14"/>
        <v>0</v>
      </c>
      <c r="T264" s="376"/>
      <c r="U264" s="46"/>
    </row>
    <row r="265" spans="1:21" x14ac:dyDescent="0.2">
      <c r="A265" s="8">
        <f t="shared" si="13"/>
        <v>255</v>
      </c>
      <c r="B265" s="933"/>
      <c r="C265" s="933"/>
      <c r="D265" s="43"/>
      <c r="E265" s="39"/>
      <c r="F265" s="365"/>
      <c r="G265" s="46"/>
      <c r="H265" s="367"/>
      <c r="I265" s="46"/>
      <c r="J265" s="88">
        <f t="shared" si="12"/>
        <v>0</v>
      </c>
      <c r="K265" s="371"/>
      <c r="L265" s="46"/>
      <c r="M265" s="41"/>
      <c r="N265" s="363"/>
      <c r="O265" s="43"/>
      <c r="P265" s="46"/>
      <c r="Q265" s="367"/>
      <c r="R265" s="46"/>
      <c r="S265" s="88">
        <f t="shared" si="14"/>
        <v>0</v>
      </c>
      <c r="T265" s="376"/>
      <c r="U265" s="46"/>
    </row>
    <row r="266" spans="1:21" x14ac:dyDescent="0.2">
      <c r="A266" s="8">
        <f t="shared" si="13"/>
        <v>256</v>
      </c>
      <c r="B266" s="933"/>
      <c r="C266" s="933"/>
      <c r="D266" s="43"/>
      <c r="E266" s="39"/>
      <c r="F266" s="365"/>
      <c r="G266" s="46"/>
      <c r="H266" s="367"/>
      <c r="I266" s="46"/>
      <c r="J266" s="88">
        <f t="shared" si="12"/>
        <v>0</v>
      </c>
      <c r="K266" s="371"/>
      <c r="L266" s="46"/>
      <c r="M266" s="41"/>
      <c r="N266" s="363"/>
      <c r="O266" s="43"/>
      <c r="P266" s="46"/>
      <c r="Q266" s="367"/>
      <c r="R266" s="46"/>
      <c r="S266" s="88">
        <f t="shared" si="14"/>
        <v>0</v>
      </c>
      <c r="T266" s="376"/>
      <c r="U266" s="46"/>
    </row>
    <row r="267" spans="1:21" x14ac:dyDescent="0.2">
      <c r="A267" s="8">
        <f t="shared" si="13"/>
        <v>257</v>
      </c>
      <c r="B267" s="933"/>
      <c r="C267" s="933"/>
      <c r="D267" s="43"/>
      <c r="E267" s="39"/>
      <c r="F267" s="365"/>
      <c r="G267" s="46"/>
      <c r="H267" s="367"/>
      <c r="I267" s="46"/>
      <c r="J267" s="88">
        <f t="shared" si="12"/>
        <v>0</v>
      </c>
      <c r="K267" s="371"/>
      <c r="L267" s="46"/>
      <c r="M267" s="41"/>
      <c r="N267" s="363"/>
      <c r="O267" s="43"/>
      <c r="P267" s="46"/>
      <c r="Q267" s="367"/>
      <c r="R267" s="46"/>
      <c r="S267" s="88">
        <f t="shared" si="14"/>
        <v>0</v>
      </c>
      <c r="T267" s="376"/>
      <c r="U267" s="46"/>
    </row>
    <row r="268" spans="1:21" x14ac:dyDescent="0.2">
      <c r="A268" s="8">
        <f t="shared" si="13"/>
        <v>258</v>
      </c>
      <c r="B268" s="933"/>
      <c r="C268" s="933"/>
      <c r="D268" s="43"/>
      <c r="E268" s="39"/>
      <c r="F268" s="365"/>
      <c r="G268" s="46"/>
      <c r="H268" s="367"/>
      <c r="I268" s="46"/>
      <c r="J268" s="88">
        <f t="shared" ref="J268:J310" si="15">IF(H268&gt;0,0,IF(G268&gt;0,"Enter Rent $",0))</f>
        <v>0</v>
      </c>
      <c r="K268" s="371"/>
      <c r="L268" s="46"/>
      <c r="M268" s="41"/>
      <c r="N268" s="363"/>
      <c r="O268" s="43"/>
      <c r="P268" s="46"/>
      <c r="Q268" s="367"/>
      <c r="R268" s="46"/>
      <c r="S268" s="88">
        <f t="shared" si="14"/>
        <v>0</v>
      </c>
      <c r="T268" s="376"/>
      <c r="U268" s="46"/>
    </row>
    <row r="269" spans="1:21" x14ac:dyDescent="0.2">
      <c r="A269" s="8">
        <f t="shared" ref="A269:A310" si="16">A268+1</f>
        <v>259</v>
      </c>
      <c r="B269" s="933"/>
      <c r="C269" s="933"/>
      <c r="D269" s="43"/>
      <c r="E269" s="39"/>
      <c r="F269" s="365"/>
      <c r="G269" s="46"/>
      <c r="H269" s="367"/>
      <c r="I269" s="46"/>
      <c r="J269" s="88">
        <f t="shared" si="15"/>
        <v>0</v>
      </c>
      <c r="K269" s="371"/>
      <c r="L269" s="46"/>
      <c r="M269" s="41"/>
      <c r="N269" s="363"/>
      <c r="O269" s="43"/>
      <c r="P269" s="46"/>
      <c r="Q269" s="367"/>
      <c r="R269" s="46"/>
      <c r="S269" s="88">
        <f t="shared" si="14"/>
        <v>0</v>
      </c>
      <c r="T269" s="376"/>
      <c r="U269" s="46"/>
    </row>
    <row r="270" spans="1:21" x14ac:dyDescent="0.2">
      <c r="A270" s="8">
        <f t="shared" si="16"/>
        <v>260</v>
      </c>
      <c r="B270" s="933"/>
      <c r="C270" s="933"/>
      <c r="D270" s="43"/>
      <c r="E270" s="39"/>
      <c r="F270" s="365"/>
      <c r="G270" s="46"/>
      <c r="H270" s="367"/>
      <c r="I270" s="46"/>
      <c r="J270" s="88">
        <f t="shared" si="15"/>
        <v>0</v>
      </c>
      <c r="K270" s="371"/>
      <c r="L270" s="46"/>
      <c r="M270" s="41"/>
      <c r="N270" s="363"/>
      <c r="O270" s="43"/>
      <c r="P270" s="46"/>
      <c r="Q270" s="367"/>
      <c r="R270" s="46"/>
      <c r="S270" s="88">
        <f t="shared" ref="S270:S310" si="17">IF(Q270&gt;0,0,IF(P270&gt;0,"Enter Rent $",0))</f>
        <v>0</v>
      </c>
      <c r="T270" s="376"/>
      <c r="U270" s="46"/>
    </row>
    <row r="271" spans="1:21" x14ac:dyDescent="0.2">
      <c r="A271" s="8">
        <f t="shared" si="16"/>
        <v>261</v>
      </c>
      <c r="B271" s="933"/>
      <c r="C271" s="933"/>
      <c r="D271" s="43"/>
      <c r="E271" s="39"/>
      <c r="F271" s="365"/>
      <c r="G271" s="46"/>
      <c r="H271" s="367"/>
      <c r="I271" s="46"/>
      <c r="J271" s="88">
        <f t="shared" si="15"/>
        <v>0</v>
      </c>
      <c r="K271" s="371"/>
      <c r="L271" s="46"/>
      <c r="M271" s="41"/>
      <c r="N271" s="363"/>
      <c r="O271" s="43"/>
      <c r="P271" s="46"/>
      <c r="Q271" s="367"/>
      <c r="R271" s="46"/>
      <c r="S271" s="88">
        <f t="shared" si="17"/>
        <v>0</v>
      </c>
      <c r="T271" s="376"/>
      <c r="U271" s="46"/>
    </row>
    <row r="272" spans="1:21" x14ac:dyDescent="0.2">
      <c r="A272" s="8">
        <f t="shared" si="16"/>
        <v>262</v>
      </c>
      <c r="B272" s="933"/>
      <c r="C272" s="933"/>
      <c r="D272" s="43"/>
      <c r="E272" s="39"/>
      <c r="F272" s="365"/>
      <c r="G272" s="46"/>
      <c r="H272" s="367"/>
      <c r="I272" s="46"/>
      <c r="J272" s="88">
        <f t="shared" si="15"/>
        <v>0</v>
      </c>
      <c r="K272" s="371"/>
      <c r="L272" s="46"/>
      <c r="M272" s="41"/>
      <c r="N272" s="363"/>
      <c r="O272" s="43"/>
      <c r="P272" s="46"/>
      <c r="Q272" s="367"/>
      <c r="R272" s="46"/>
      <c r="S272" s="88">
        <f t="shared" si="17"/>
        <v>0</v>
      </c>
      <c r="T272" s="376"/>
      <c r="U272" s="46"/>
    </row>
    <row r="273" spans="1:21" x14ac:dyDescent="0.2">
      <c r="A273" s="8">
        <f t="shared" si="16"/>
        <v>263</v>
      </c>
      <c r="B273" s="933"/>
      <c r="C273" s="933"/>
      <c r="D273" s="43"/>
      <c r="E273" s="39"/>
      <c r="F273" s="365"/>
      <c r="G273" s="46"/>
      <c r="H273" s="367"/>
      <c r="I273" s="46"/>
      <c r="J273" s="88">
        <f t="shared" si="15"/>
        <v>0</v>
      </c>
      <c r="K273" s="371"/>
      <c r="L273" s="46"/>
      <c r="M273" s="41"/>
      <c r="N273" s="363"/>
      <c r="O273" s="43"/>
      <c r="P273" s="46"/>
      <c r="Q273" s="367"/>
      <c r="R273" s="46"/>
      <c r="S273" s="88">
        <f t="shared" si="17"/>
        <v>0</v>
      </c>
      <c r="T273" s="376"/>
      <c r="U273" s="46"/>
    </row>
    <row r="274" spans="1:21" x14ac:dyDescent="0.2">
      <c r="A274" s="8">
        <f t="shared" si="16"/>
        <v>264</v>
      </c>
      <c r="B274" s="933"/>
      <c r="C274" s="933"/>
      <c r="D274" s="43"/>
      <c r="E274" s="39"/>
      <c r="F274" s="365"/>
      <c r="G274" s="46"/>
      <c r="H274" s="367"/>
      <c r="I274" s="46"/>
      <c r="J274" s="88">
        <f t="shared" si="15"/>
        <v>0</v>
      </c>
      <c r="K274" s="371"/>
      <c r="L274" s="46"/>
      <c r="M274" s="41"/>
      <c r="N274" s="363"/>
      <c r="O274" s="43"/>
      <c r="P274" s="46"/>
      <c r="Q274" s="367"/>
      <c r="R274" s="46"/>
      <c r="S274" s="88">
        <f t="shared" si="17"/>
        <v>0</v>
      </c>
      <c r="T274" s="376"/>
      <c r="U274" s="46"/>
    </row>
    <row r="275" spans="1:21" x14ac:dyDescent="0.2">
      <c r="A275" s="8">
        <f t="shared" si="16"/>
        <v>265</v>
      </c>
      <c r="B275" s="933"/>
      <c r="C275" s="933"/>
      <c r="D275" s="43"/>
      <c r="E275" s="39"/>
      <c r="F275" s="365"/>
      <c r="G275" s="46"/>
      <c r="H275" s="367"/>
      <c r="I275" s="46"/>
      <c r="J275" s="88">
        <f t="shared" si="15"/>
        <v>0</v>
      </c>
      <c r="K275" s="371"/>
      <c r="L275" s="46"/>
      <c r="M275" s="41"/>
      <c r="N275" s="363"/>
      <c r="O275" s="43"/>
      <c r="P275" s="46"/>
      <c r="Q275" s="367"/>
      <c r="R275" s="46"/>
      <c r="S275" s="88">
        <f t="shared" si="17"/>
        <v>0</v>
      </c>
      <c r="T275" s="376"/>
      <c r="U275" s="46"/>
    </row>
    <row r="276" spans="1:21" x14ac:dyDescent="0.2">
      <c r="A276" s="8">
        <f t="shared" si="16"/>
        <v>266</v>
      </c>
      <c r="B276" s="933"/>
      <c r="C276" s="933"/>
      <c r="D276" s="43"/>
      <c r="E276" s="39"/>
      <c r="F276" s="365"/>
      <c r="G276" s="46"/>
      <c r="H276" s="367"/>
      <c r="I276" s="46"/>
      <c r="J276" s="88">
        <f t="shared" si="15"/>
        <v>0</v>
      </c>
      <c r="K276" s="371"/>
      <c r="L276" s="46"/>
      <c r="M276" s="41"/>
      <c r="N276" s="363"/>
      <c r="O276" s="43"/>
      <c r="P276" s="46"/>
      <c r="Q276" s="367"/>
      <c r="R276" s="46"/>
      <c r="S276" s="88">
        <f t="shared" si="17"/>
        <v>0</v>
      </c>
      <c r="T276" s="376"/>
      <c r="U276" s="46"/>
    </row>
    <row r="277" spans="1:21" x14ac:dyDescent="0.2">
      <c r="A277" s="8">
        <f t="shared" si="16"/>
        <v>267</v>
      </c>
      <c r="B277" s="933"/>
      <c r="C277" s="933"/>
      <c r="D277" s="43"/>
      <c r="E277" s="39"/>
      <c r="F277" s="365"/>
      <c r="G277" s="46"/>
      <c r="H277" s="367"/>
      <c r="I277" s="46"/>
      <c r="J277" s="88">
        <f t="shared" si="15"/>
        <v>0</v>
      </c>
      <c r="K277" s="371"/>
      <c r="L277" s="46"/>
      <c r="M277" s="41"/>
      <c r="N277" s="363"/>
      <c r="O277" s="43"/>
      <c r="P277" s="46"/>
      <c r="Q277" s="367"/>
      <c r="R277" s="46"/>
      <c r="S277" s="88">
        <f t="shared" si="17"/>
        <v>0</v>
      </c>
      <c r="T277" s="376"/>
      <c r="U277" s="46"/>
    </row>
    <row r="278" spans="1:21" x14ac:dyDescent="0.2">
      <c r="A278" s="8">
        <f t="shared" si="16"/>
        <v>268</v>
      </c>
      <c r="B278" s="933"/>
      <c r="C278" s="933"/>
      <c r="D278" s="43"/>
      <c r="E278" s="39"/>
      <c r="F278" s="365"/>
      <c r="G278" s="46"/>
      <c r="H278" s="367"/>
      <c r="I278" s="46"/>
      <c r="J278" s="88">
        <f t="shared" si="15"/>
        <v>0</v>
      </c>
      <c r="K278" s="371"/>
      <c r="L278" s="46"/>
      <c r="M278" s="41"/>
      <c r="N278" s="363"/>
      <c r="O278" s="43"/>
      <c r="P278" s="46"/>
      <c r="Q278" s="367"/>
      <c r="R278" s="46"/>
      <c r="S278" s="88">
        <f t="shared" si="17"/>
        <v>0</v>
      </c>
      <c r="T278" s="376"/>
      <c r="U278" s="46"/>
    </row>
    <row r="279" spans="1:21" x14ac:dyDescent="0.2">
      <c r="A279" s="8">
        <f t="shared" si="16"/>
        <v>269</v>
      </c>
      <c r="B279" s="933"/>
      <c r="C279" s="933"/>
      <c r="D279" s="43"/>
      <c r="E279" s="39"/>
      <c r="F279" s="365"/>
      <c r="G279" s="46"/>
      <c r="H279" s="367"/>
      <c r="I279" s="46"/>
      <c r="J279" s="88">
        <f t="shared" si="15"/>
        <v>0</v>
      </c>
      <c r="K279" s="371"/>
      <c r="L279" s="46"/>
      <c r="M279" s="41"/>
      <c r="N279" s="363"/>
      <c r="O279" s="43"/>
      <c r="P279" s="46"/>
      <c r="Q279" s="367"/>
      <c r="R279" s="46"/>
      <c r="S279" s="88">
        <f t="shared" si="17"/>
        <v>0</v>
      </c>
      <c r="T279" s="376"/>
      <c r="U279" s="46"/>
    </row>
    <row r="280" spans="1:21" x14ac:dyDescent="0.2">
      <c r="A280" s="8">
        <f t="shared" si="16"/>
        <v>270</v>
      </c>
      <c r="B280" s="933"/>
      <c r="C280" s="933"/>
      <c r="D280" s="43"/>
      <c r="E280" s="39"/>
      <c r="F280" s="365"/>
      <c r="G280" s="46"/>
      <c r="H280" s="367"/>
      <c r="I280" s="46"/>
      <c r="J280" s="88">
        <f t="shared" si="15"/>
        <v>0</v>
      </c>
      <c r="K280" s="371"/>
      <c r="L280" s="46"/>
      <c r="M280" s="41"/>
      <c r="N280" s="363"/>
      <c r="O280" s="43"/>
      <c r="P280" s="46"/>
      <c r="Q280" s="367"/>
      <c r="R280" s="46"/>
      <c r="S280" s="88">
        <f t="shared" si="17"/>
        <v>0</v>
      </c>
      <c r="T280" s="376"/>
      <c r="U280" s="46"/>
    </row>
    <row r="281" spans="1:21" x14ac:dyDescent="0.2">
      <c r="A281" s="8">
        <f t="shared" si="16"/>
        <v>271</v>
      </c>
      <c r="B281" s="933"/>
      <c r="C281" s="933"/>
      <c r="D281" s="43"/>
      <c r="E281" s="39"/>
      <c r="F281" s="365"/>
      <c r="G281" s="46"/>
      <c r="H281" s="367"/>
      <c r="I281" s="46"/>
      <c r="J281" s="88">
        <f t="shared" si="15"/>
        <v>0</v>
      </c>
      <c r="K281" s="371"/>
      <c r="L281" s="46"/>
      <c r="M281" s="41"/>
      <c r="N281" s="363"/>
      <c r="O281" s="43"/>
      <c r="P281" s="46"/>
      <c r="Q281" s="367"/>
      <c r="R281" s="46"/>
      <c r="S281" s="88">
        <f t="shared" si="17"/>
        <v>0</v>
      </c>
      <c r="T281" s="376"/>
      <c r="U281" s="46"/>
    </row>
    <row r="282" spans="1:21" x14ac:dyDescent="0.2">
      <c r="A282" s="8">
        <f t="shared" si="16"/>
        <v>272</v>
      </c>
      <c r="B282" s="933"/>
      <c r="C282" s="933"/>
      <c r="D282" s="43"/>
      <c r="E282" s="39"/>
      <c r="F282" s="365"/>
      <c r="G282" s="46"/>
      <c r="H282" s="367"/>
      <c r="I282" s="46"/>
      <c r="J282" s="88">
        <f t="shared" si="15"/>
        <v>0</v>
      </c>
      <c r="K282" s="371"/>
      <c r="L282" s="46"/>
      <c r="M282" s="41"/>
      <c r="N282" s="363"/>
      <c r="O282" s="43"/>
      <c r="P282" s="46"/>
      <c r="Q282" s="367"/>
      <c r="R282" s="46"/>
      <c r="S282" s="88">
        <f t="shared" si="17"/>
        <v>0</v>
      </c>
      <c r="T282" s="376"/>
      <c r="U282" s="46"/>
    </row>
    <row r="283" spans="1:21" x14ac:dyDescent="0.2">
      <c r="A283" s="8">
        <f t="shared" si="16"/>
        <v>273</v>
      </c>
      <c r="B283" s="933"/>
      <c r="C283" s="933"/>
      <c r="D283" s="43"/>
      <c r="E283" s="39"/>
      <c r="F283" s="365"/>
      <c r="G283" s="46"/>
      <c r="H283" s="367"/>
      <c r="I283" s="46"/>
      <c r="J283" s="88">
        <f t="shared" si="15"/>
        <v>0</v>
      </c>
      <c r="K283" s="371"/>
      <c r="L283" s="46"/>
      <c r="M283" s="41"/>
      <c r="N283" s="363"/>
      <c r="O283" s="43"/>
      <c r="P283" s="46"/>
      <c r="Q283" s="367"/>
      <c r="R283" s="46"/>
      <c r="S283" s="88">
        <f t="shared" si="17"/>
        <v>0</v>
      </c>
      <c r="T283" s="376"/>
      <c r="U283" s="46"/>
    </row>
    <row r="284" spans="1:21" x14ac:dyDescent="0.2">
      <c r="A284" s="8">
        <f t="shared" si="16"/>
        <v>274</v>
      </c>
      <c r="B284" s="933"/>
      <c r="C284" s="933"/>
      <c r="D284" s="43"/>
      <c r="E284" s="39"/>
      <c r="F284" s="365"/>
      <c r="G284" s="46"/>
      <c r="H284" s="367"/>
      <c r="I284" s="46"/>
      <c r="J284" s="88">
        <f t="shared" si="15"/>
        <v>0</v>
      </c>
      <c r="K284" s="371"/>
      <c r="L284" s="46"/>
      <c r="M284" s="41"/>
      <c r="N284" s="363"/>
      <c r="O284" s="43"/>
      <c r="P284" s="46"/>
      <c r="Q284" s="367"/>
      <c r="R284" s="46"/>
      <c r="S284" s="88">
        <f t="shared" si="17"/>
        <v>0</v>
      </c>
      <c r="T284" s="376"/>
      <c r="U284" s="46"/>
    </row>
    <row r="285" spans="1:21" x14ac:dyDescent="0.2">
      <c r="A285" s="8">
        <f t="shared" si="16"/>
        <v>275</v>
      </c>
      <c r="B285" s="933"/>
      <c r="C285" s="933"/>
      <c r="D285" s="43"/>
      <c r="E285" s="39"/>
      <c r="F285" s="365"/>
      <c r="G285" s="46"/>
      <c r="H285" s="367"/>
      <c r="I285" s="46"/>
      <c r="J285" s="88">
        <f t="shared" si="15"/>
        <v>0</v>
      </c>
      <c r="K285" s="371"/>
      <c r="L285" s="46"/>
      <c r="M285" s="41"/>
      <c r="N285" s="363"/>
      <c r="O285" s="43"/>
      <c r="P285" s="46"/>
      <c r="Q285" s="367"/>
      <c r="R285" s="46"/>
      <c r="S285" s="88">
        <f t="shared" si="17"/>
        <v>0</v>
      </c>
      <c r="T285" s="376"/>
      <c r="U285" s="46"/>
    </row>
    <row r="286" spans="1:21" x14ac:dyDescent="0.2">
      <c r="A286" s="8">
        <f t="shared" si="16"/>
        <v>276</v>
      </c>
      <c r="B286" s="933"/>
      <c r="C286" s="933"/>
      <c r="D286" s="43"/>
      <c r="E286" s="39"/>
      <c r="F286" s="365"/>
      <c r="G286" s="46"/>
      <c r="H286" s="367"/>
      <c r="I286" s="46"/>
      <c r="J286" s="88">
        <f t="shared" si="15"/>
        <v>0</v>
      </c>
      <c r="K286" s="371"/>
      <c r="L286" s="46"/>
      <c r="M286" s="41"/>
      <c r="N286" s="363"/>
      <c r="O286" s="43"/>
      <c r="P286" s="46"/>
      <c r="Q286" s="367"/>
      <c r="R286" s="46"/>
      <c r="S286" s="88">
        <f t="shared" si="17"/>
        <v>0</v>
      </c>
      <c r="T286" s="376"/>
      <c r="U286" s="46"/>
    </row>
    <row r="287" spans="1:21" x14ac:dyDescent="0.2">
      <c r="A287" s="8">
        <f t="shared" si="16"/>
        <v>277</v>
      </c>
      <c r="B287" s="933"/>
      <c r="C287" s="933"/>
      <c r="D287" s="43"/>
      <c r="E287" s="39"/>
      <c r="F287" s="365"/>
      <c r="G287" s="46"/>
      <c r="H287" s="367"/>
      <c r="I287" s="46"/>
      <c r="J287" s="88">
        <f t="shared" si="15"/>
        <v>0</v>
      </c>
      <c r="K287" s="371"/>
      <c r="L287" s="46"/>
      <c r="M287" s="41"/>
      <c r="N287" s="363"/>
      <c r="O287" s="43"/>
      <c r="P287" s="46"/>
      <c r="Q287" s="367"/>
      <c r="R287" s="46"/>
      <c r="S287" s="88">
        <f t="shared" si="17"/>
        <v>0</v>
      </c>
      <c r="T287" s="376"/>
      <c r="U287" s="46"/>
    </row>
    <row r="288" spans="1:21" x14ac:dyDescent="0.2">
      <c r="A288" s="8">
        <f t="shared" si="16"/>
        <v>278</v>
      </c>
      <c r="B288" s="933"/>
      <c r="C288" s="933"/>
      <c r="D288" s="43"/>
      <c r="E288" s="39"/>
      <c r="F288" s="365"/>
      <c r="G288" s="46"/>
      <c r="H288" s="367"/>
      <c r="I288" s="46"/>
      <c r="J288" s="88">
        <f t="shared" si="15"/>
        <v>0</v>
      </c>
      <c r="K288" s="371"/>
      <c r="L288" s="46"/>
      <c r="M288" s="41"/>
      <c r="N288" s="363"/>
      <c r="O288" s="43"/>
      <c r="P288" s="46"/>
      <c r="Q288" s="367"/>
      <c r="R288" s="46"/>
      <c r="S288" s="88">
        <f t="shared" si="17"/>
        <v>0</v>
      </c>
      <c r="T288" s="376"/>
      <c r="U288" s="46"/>
    </row>
    <row r="289" spans="1:21" x14ac:dyDescent="0.2">
      <c r="A289" s="8">
        <f t="shared" si="16"/>
        <v>279</v>
      </c>
      <c r="B289" s="933"/>
      <c r="C289" s="933"/>
      <c r="D289" s="43"/>
      <c r="E289" s="39"/>
      <c r="F289" s="365"/>
      <c r="G289" s="46"/>
      <c r="H289" s="367"/>
      <c r="I289" s="46"/>
      <c r="J289" s="88">
        <f t="shared" si="15"/>
        <v>0</v>
      </c>
      <c r="K289" s="371"/>
      <c r="L289" s="46"/>
      <c r="M289" s="41"/>
      <c r="N289" s="363"/>
      <c r="O289" s="43"/>
      <c r="P289" s="46"/>
      <c r="Q289" s="367"/>
      <c r="R289" s="46"/>
      <c r="S289" s="88">
        <f t="shared" si="17"/>
        <v>0</v>
      </c>
      <c r="T289" s="376"/>
      <c r="U289" s="46"/>
    </row>
    <row r="290" spans="1:21" x14ac:dyDescent="0.2">
      <c r="A290" s="8">
        <f t="shared" si="16"/>
        <v>280</v>
      </c>
      <c r="B290" s="933"/>
      <c r="C290" s="933"/>
      <c r="D290" s="43"/>
      <c r="E290" s="39"/>
      <c r="F290" s="365"/>
      <c r="G290" s="46"/>
      <c r="H290" s="367"/>
      <c r="I290" s="46"/>
      <c r="J290" s="88">
        <f t="shared" si="15"/>
        <v>0</v>
      </c>
      <c r="K290" s="371"/>
      <c r="L290" s="46"/>
      <c r="M290" s="41"/>
      <c r="N290" s="363"/>
      <c r="O290" s="43"/>
      <c r="P290" s="46"/>
      <c r="Q290" s="367"/>
      <c r="R290" s="46"/>
      <c r="S290" s="88">
        <f t="shared" si="17"/>
        <v>0</v>
      </c>
      <c r="T290" s="376"/>
      <c r="U290" s="46"/>
    </row>
    <row r="291" spans="1:21" x14ac:dyDescent="0.2">
      <c r="A291" s="8">
        <f t="shared" si="16"/>
        <v>281</v>
      </c>
      <c r="B291" s="933"/>
      <c r="C291" s="933"/>
      <c r="D291" s="43"/>
      <c r="E291" s="39"/>
      <c r="F291" s="365"/>
      <c r="G291" s="46"/>
      <c r="H291" s="367"/>
      <c r="I291" s="46"/>
      <c r="J291" s="88">
        <f t="shared" si="15"/>
        <v>0</v>
      </c>
      <c r="K291" s="371"/>
      <c r="L291" s="46"/>
      <c r="M291" s="41"/>
      <c r="N291" s="363"/>
      <c r="O291" s="43"/>
      <c r="P291" s="46"/>
      <c r="Q291" s="367"/>
      <c r="R291" s="46"/>
      <c r="S291" s="88">
        <f t="shared" si="17"/>
        <v>0</v>
      </c>
      <c r="T291" s="376"/>
      <c r="U291" s="46"/>
    </row>
    <row r="292" spans="1:21" x14ac:dyDescent="0.2">
      <c r="A292" s="8">
        <f t="shared" si="16"/>
        <v>282</v>
      </c>
      <c r="B292" s="933"/>
      <c r="C292" s="933"/>
      <c r="D292" s="43"/>
      <c r="E292" s="39"/>
      <c r="F292" s="365"/>
      <c r="G292" s="46"/>
      <c r="H292" s="367"/>
      <c r="I292" s="46"/>
      <c r="J292" s="88">
        <f t="shared" si="15"/>
        <v>0</v>
      </c>
      <c r="K292" s="371"/>
      <c r="L292" s="46"/>
      <c r="M292" s="41"/>
      <c r="N292" s="363"/>
      <c r="O292" s="43"/>
      <c r="P292" s="46"/>
      <c r="Q292" s="367"/>
      <c r="R292" s="46"/>
      <c r="S292" s="88">
        <f t="shared" si="17"/>
        <v>0</v>
      </c>
      <c r="T292" s="376"/>
      <c r="U292" s="46"/>
    </row>
    <row r="293" spans="1:21" x14ac:dyDescent="0.2">
      <c r="A293" s="8">
        <f t="shared" si="16"/>
        <v>283</v>
      </c>
      <c r="B293" s="933"/>
      <c r="C293" s="933"/>
      <c r="D293" s="43"/>
      <c r="E293" s="39"/>
      <c r="F293" s="365"/>
      <c r="G293" s="46"/>
      <c r="H293" s="367"/>
      <c r="I293" s="46"/>
      <c r="J293" s="88">
        <f t="shared" si="15"/>
        <v>0</v>
      </c>
      <c r="K293" s="371"/>
      <c r="L293" s="46"/>
      <c r="M293" s="41"/>
      <c r="N293" s="363"/>
      <c r="O293" s="43"/>
      <c r="P293" s="46"/>
      <c r="Q293" s="367"/>
      <c r="R293" s="46"/>
      <c r="S293" s="88">
        <f t="shared" si="17"/>
        <v>0</v>
      </c>
      <c r="T293" s="376"/>
      <c r="U293" s="46"/>
    </row>
    <row r="294" spans="1:21" x14ac:dyDescent="0.2">
      <c r="A294" s="8">
        <f t="shared" si="16"/>
        <v>284</v>
      </c>
      <c r="B294" s="933"/>
      <c r="C294" s="933"/>
      <c r="D294" s="43"/>
      <c r="E294" s="39"/>
      <c r="F294" s="365"/>
      <c r="G294" s="46"/>
      <c r="H294" s="367"/>
      <c r="I294" s="46"/>
      <c r="J294" s="88">
        <f t="shared" si="15"/>
        <v>0</v>
      </c>
      <c r="K294" s="371"/>
      <c r="L294" s="46"/>
      <c r="M294" s="41"/>
      <c r="N294" s="363"/>
      <c r="O294" s="43"/>
      <c r="P294" s="46"/>
      <c r="Q294" s="367"/>
      <c r="R294" s="46"/>
      <c r="S294" s="88">
        <f t="shared" si="17"/>
        <v>0</v>
      </c>
      <c r="T294" s="376"/>
      <c r="U294" s="46"/>
    </row>
    <row r="295" spans="1:21" x14ac:dyDescent="0.2">
      <c r="A295" s="8">
        <f t="shared" si="16"/>
        <v>285</v>
      </c>
      <c r="B295" s="933"/>
      <c r="C295" s="933"/>
      <c r="D295" s="43"/>
      <c r="E295" s="39"/>
      <c r="F295" s="365"/>
      <c r="G295" s="46"/>
      <c r="H295" s="367"/>
      <c r="I295" s="46"/>
      <c r="J295" s="88">
        <f t="shared" si="15"/>
        <v>0</v>
      </c>
      <c r="K295" s="371"/>
      <c r="L295" s="46"/>
      <c r="M295" s="41"/>
      <c r="N295" s="363"/>
      <c r="O295" s="43"/>
      <c r="P295" s="46"/>
      <c r="Q295" s="367"/>
      <c r="R295" s="46"/>
      <c r="S295" s="88">
        <f t="shared" si="17"/>
        <v>0</v>
      </c>
      <c r="T295" s="376"/>
      <c r="U295" s="46"/>
    </row>
    <row r="296" spans="1:21" x14ac:dyDescent="0.2">
      <c r="A296" s="8">
        <f t="shared" si="16"/>
        <v>286</v>
      </c>
      <c r="B296" s="933"/>
      <c r="C296" s="933"/>
      <c r="D296" s="43"/>
      <c r="E296" s="39"/>
      <c r="F296" s="365"/>
      <c r="G296" s="46"/>
      <c r="H296" s="367"/>
      <c r="I296" s="46"/>
      <c r="J296" s="88">
        <f t="shared" si="15"/>
        <v>0</v>
      </c>
      <c r="K296" s="371"/>
      <c r="L296" s="46"/>
      <c r="M296" s="41"/>
      <c r="N296" s="363"/>
      <c r="O296" s="43"/>
      <c r="P296" s="46"/>
      <c r="Q296" s="367"/>
      <c r="R296" s="46"/>
      <c r="S296" s="88">
        <f t="shared" si="17"/>
        <v>0</v>
      </c>
      <c r="T296" s="376"/>
      <c r="U296" s="46"/>
    </row>
    <row r="297" spans="1:21" x14ac:dyDescent="0.2">
      <c r="A297" s="8">
        <f t="shared" si="16"/>
        <v>287</v>
      </c>
      <c r="B297" s="933"/>
      <c r="C297" s="933"/>
      <c r="D297" s="43"/>
      <c r="E297" s="39"/>
      <c r="F297" s="365"/>
      <c r="G297" s="46"/>
      <c r="H297" s="367"/>
      <c r="I297" s="46"/>
      <c r="J297" s="88">
        <f t="shared" si="15"/>
        <v>0</v>
      </c>
      <c r="K297" s="371"/>
      <c r="L297" s="46"/>
      <c r="M297" s="41"/>
      <c r="N297" s="363"/>
      <c r="O297" s="43"/>
      <c r="P297" s="46"/>
      <c r="Q297" s="367"/>
      <c r="R297" s="46"/>
      <c r="S297" s="88">
        <f t="shared" si="17"/>
        <v>0</v>
      </c>
      <c r="T297" s="376"/>
      <c r="U297" s="46"/>
    </row>
    <row r="298" spans="1:21" x14ac:dyDescent="0.2">
      <c r="A298" s="8">
        <f t="shared" si="16"/>
        <v>288</v>
      </c>
      <c r="B298" s="933"/>
      <c r="C298" s="933"/>
      <c r="D298" s="43"/>
      <c r="E298" s="39"/>
      <c r="F298" s="365"/>
      <c r="G298" s="46"/>
      <c r="H298" s="367"/>
      <c r="I298" s="46"/>
      <c r="J298" s="88">
        <f t="shared" si="15"/>
        <v>0</v>
      </c>
      <c r="K298" s="371"/>
      <c r="L298" s="46"/>
      <c r="M298" s="41"/>
      <c r="N298" s="363"/>
      <c r="O298" s="43"/>
      <c r="P298" s="46"/>
      <c r="Q298" s="367"/>
      <c r="R298" s="46"/>
      <c r="S298" s="88">
        <f t="shared" si="17"/>
        <v>0</v>
      </c>
      <c r="T298" s="376"/>
      <c r="U298" s="46"/>
    </row>
    <row r="299" spans="1:21" x14ac:dyDescent="0.2">
      <c r="A299" s="8">
        <f t="shared" si="16"/>
        <v>289</v>
      </c>
      <c r="B299" s="933"/>
      <c r="C299" s="933"/>
      <c r="D299" s="43"/>
      <c r="E299" s="39"/>
      <c r="F299" s="365"/>
      <c r="G299" s="46"/>
      <c r="H299" s="367"/>
      <c r="I299" s="46"/>
      <c r="J299" s="88">
        <f t="shared" si="15"/>
        <v>0</v>
      </c>
      <c r="K299" s="371"/>
      <c r="L299" s="46"/>
      <c r="M299" s="41"/>
      <c r="N299" s="363"/>
      <c r="O299" s="43"/>
      <c r="P299" s="46"/>
      <c r="Q299" s="367"/>
      <c r="R299" s="46"/>
      <c r="S299" s="88">
        <f t="shared" si="17"/>
        <v>0</v>
      </c>
      <c r="T299" s="376"/>
      <c r="U299" s="46"/>
    </row>
    <row r="300" spans="1:21" x14ac:dyDescent="0.2">
      <c r="A300" s="8">
        <f t="shared" si="16"/>
        <v>290</v>
      </c>
      <c r="B300" s="933"/>
      <c r="C300" s="933"/>
      <c r="D300" s="43"/>
      <c r="E300" s="39"/>
      <c r="F300" s="365"/>
      <c r="G300" s="46"/>
      <c r="H300" s="367"/>
      <c r="I300" s="46"/>
      <c r="J300" s="88">
        <f t="shared" si="15"/>
        <v>0</v>
      </c>
      <c r="K300" s="371"/>
      <c r="L300" s="46"/>
      <c r="M300" s="41"/>
      <c r="N300" s="363"/>
      <c r="O300" s="43"/>
      <c r="P300" s="46"/>
      <c r="Q300" s="367"/>
      <c r="R300" s="46"/>
      <c r="S300" s="88">
        <f t="shared" si="17"/>
        <v>0</v>
      </c>
      <c r="T300" s="376"/>
      <c r="U300" s="46"/>
    </row>
    <row r="301" spans="1:21" x14ac:dyDescent="0.2">
      <c r="A301" s="8">
        <f t="shared" si="16"/>
        <v>291</v>
      </c>
      <c r="B301" s="933"/>
      <c r="C301" s="933"/>
      <c r="D301" s="43"/>
      <c r="E301" s="39"/>
      <c r="F301" s="365"/>
      <c r="G301" s="46"/>
      <c r="H301" s="367"/>
      <c r="I301" s="46"/>
      <c r="J301" s="88">
        <f t="shared" si="15"/>
        <v>0</v>
      </c>
      <c r="K301" s="371"/>
      <c r="L301" s="46"/>
      <c r="M301" s="41"/>
      <c r="N301" s="363"/>
      <c r="O301" s="43"/>
      <c r="P301" s="46"/>
      <c r="Q301" s="367"/>
      <c r="R301" s="46"/>
      <c r="S301" s="88">
        <f t="shared" si="17"/>
        <v>0</v>
      </c>
      <c r="T301" s="376"/>
      <c r="U301" s="46"/>
    </row>
    <row r="302" spans="1:21" x14ac:dyDescent="0.2">
      <c r="A302" s="8">
        <f t="shared" si="16"/>
        <v>292</v>
      </c>
      <c r="B302" s="933"/>
      <c r="C302" s="933"/>
      <c r="D302" s="43"/>
      <c r="E302" s="39"/>
      <c r="F302" s="365"/>
      <c r="G302" s="46"/>
      <c r="H302" s="367"/>
      <c r="I302" s="46"/>
      <c r="J302" s="88">
        <f t="shared" si="15"/>
        <v>0</v>
      </c>
      <c r="K302" s="371"/>
      <c r="L302" s="46"/>
      <c r="M302" s="41"/>
      <c r="N302" s="363"/>
      <c r="O302" s="43"/>
      <c r="P302" s="46"/>
      <c r="Q302" s="367"/>
      <c r="R302" s="46"/>
      <c r="S302" s="88">
        <f t="shared" si="17"/>
        <v>0</v>
      </c>
      <c r="T302" s="376"/>
      <c r="U302" s="46"/>
    </row>
    <row r="303" spans="1:21" x14ac:dyDescent="0.2">
      <c r="A303" s="8">
        <f t="shared" si="16"/>
        <v>293</v>
      </c>
      <c r="B303" s="933"/>
      <c r="C303" s="933"/>
      <c r="D303" s="43"/>
      <c r="E303" s="39"/>
      <c r="F303" s="365"/>
      <c r="G303" s="46"/>
      <c r="H303" s="367"/>
      <c r="I303" s="46"/>
      <c r="J303" s="88">
        <f t="shared" si="15"/>
        <v>0</v>
      </c>
      <c r="K303" s="371"/>
      <c r="L303" s="46"/>
      <c r="M303" s="41"/>
      <c r="N303" s="363"/>
      <c r="O303" s="43"/>
      <c r="P303" s="46"/>
      <c r="Q303" s="367"/>
      <c r="R303" s="46"/>
      <c r="S303" s="88">
        <f t="shared" si="17"/>
        <v>0</v>
      </c>
      <c r="T303" s="376"/>
      <c r="U303" s="46"/>
    </row>
    <row r="304" spans="1:21" x14ac:dyDescent="0.2">
      <c r="A304" s="8">
        <f t="shared" si="16"/>
        <v>294</v>
      </c>
      <c r="B304" s="933"/>
      <c r="C304" s="933"/>
      <c r="D304" s="43"/>
      <c r="E304" s="39"/>
      <c r="F304" s="365"/>
      <c r="G304" s="46"/>
      <c r="H304" s="367"/>
      <c r="I304" s="46"/>
      <c r="J304" s="88">
        <f t="shared" si="15"/>
        <v>0</v>
      </c>
      <c r="K304" s="371"/>
      <c r="L304" s="46"/>
      <c r="M304" s="41"/>
      <c r="N304" s="363"/>
      <c r="O304" s="43"/>
      <c r="P304" s="46"/>
      <c r="Q304" s="367"/>
      <c r="R304" s="46"/>
      <c r="S304" s="88">
        <f t="shared" si="17"/>
        <v>0</v>
      </c>
      <c r="T304" s="376"/>
      <c r="U304" s="46"/>
    </row>
    <row r="305" spans="1:21" x14ac:dyDescent="0.2">
      <c r="A305" s="8">
        <f t="shared" si="16"/>
        <v>295</v>
      </c>
      <c r="B305" s="933"/>
      <c r="C305" s="933"/>
      <c r="D305" s="43"/>
      <c r="E305" s="39"/>
      <c r="F305" s="365"/>
      <c r="G305" s="46"/>
      <c r="H305" s="367"/>
      <c r="I305" s="46"/>
      <c r="J305" s="88">
        <f t="shared" si="15"/>
        <v>0</v>
      </c>
      <c r="K305" s="371"/>
      <c r="L305" s="46"/>
      <c r="M305" s="41"/>
      <c r="N305" s="363"/>
      <c r="O305" s="43"/>
      <c r="P305" s="46"/>
      <c r="Q305" s="367"/>
      <c r="R305" s="46"/>
      <c r="S305" s="88">
        <f t="shared" si="17"/>
        <v>0</v>
      </c>
      <c r="T305" s="376"/>
      <c r="U305" s="46"/>
    </row>
    <row r="306" spans="1:21" x14ac:dyDescent="0.2">
      <c r="A306" s="8">
        <f t="shared" si="16"/>
        <v>296</v>
      </c>
      <c r="B306" s="933"/>
      <c r="C306" s="933"/>
      <c r="D306" s="43"/>
      <c r="E306" s="39"/>
      <c r="F306" s="365"/>
      <c r="G306" s="46"/>
      <c r="H306" s="367"/>
      <c r="I306" s="46"/>
      <c r="J306" s="88">
        <f t="shared" si="15"/>
        <v>0</v>
      </c>
      <c r="K306" s="371"/>
      <c r="L306" s="46"/>
      <c r="M306" s="41"/>
      <c r="N306" s="363"/>
      <c r="O306" s="43"/>
      <c r="P306" s="46"/>
      <c r="Q306" s="367"/>
      <c r="R306" s="46"/>
      <c r="S306" s="88">
        <f t="shared" si="17"/>
        <v>0</v>
      </c>
      <c r="T306" s="376"/>
      <c r="U306" s="46"/>
    </row>
    <row r="307" spans="1:21" x14ac:dyDescent="0.2">
      <c r="A307" s="8">
        <f t="shared" si="16"/>
        <v>297</v>
      </c>
      <c r="B307" s="933"/>
      <c r="C307" s="933"/>
      <c r="D307" s="43"/>
      <c r="E307" s="39"/>
      <c r="F307" s="365"/>
      <c r="G307" s="46"/>
      <c r="H307" s="367"/>
      <c r="I307" s="46"/>
      <c r="J307" s="88">
        <f t="shared" si="15"/>
        <v>0</v>
      </c>
      <c r="K307" s="371"/>
      <c r="L307" s="46"/>
      <c r="M307" s="41"/>
      <c r="N307" s="363"/>
      <c r="O307" s="43"/>
      <c r="P307" s="46"/>
      <c r="Q307" s="367"/>
      <c r="R307" s="46"/>
      <c r="S307" s="88">
        <f t="shared" si="17"/>
        <v>0</v>
      </c>
      <c r="T307" s="376"/>
      <c r="U307" s="46"/>
    </row>
    <row r="308" spans="1:21" x14ac:dyDescent="0.2">
      <c r="A308" s="8">
        <f t="shared" si="16"/>
        <v>298</v>
      </c>
      <c r="B308" s="933"/>
      <c r="C308" s="933"/>
      <c r="D308" s="43"/>
      <c r="E308" s="39"/>
      <c r="F308" s="365"/>
      <c r="G308" s="46"/>
      <c r="H308" s="367"/>
      <c r="I308" s="46"/>
      <c r="J308" s="88">
        <f t="shared" si="15"/>
        <v>0</v>
      </c>
      <c r="K308" s="371"/>
      <c r="L308" s="46"/>
      <c r="M308" s="41"/>
      <c r="N308" s="363"/>
      <c r="O308" s="43"/>
      <c r="P308" s="46"/>
      <c r="Q308" s="367"/>
      <c r="R308" s="46"/>
      <c r="S308" s="88">
        <f t="shared" si="17"/>
        <v>0</v>
      </c>
      <c r="T308" s="376"/>
      <c r="U308" s="46"/>
    </row>
    <row r="309" spans="1:21" x14ac:dyDescent="0.2">
      <c r="A309" s="8">
        <f t="shared" si="16"/>
        <v>299</v>
      </c>
      <c r="B309" s="933"/>
      <c r="C309" s="933"/>
      <c r="D309" s="43"/>
      <c r="E309" s="39"/>
      <c r="F309" s="365"/>
      <c r="G309" s="46"/>
      <c r="H309" s="367"/>
      <c r="I309" s="46"/>
      <c r="J309" s="88">
        <f t="shared" si="15"/>
        <v>0</v>
      </c>
      <c r="K309" s="371"/>
      <c r="L309" s="46"/>
      <c r="M309" s="41"/>
      <c r="N309" s="363"/>
      <c r="O309" s="43"/>
      <c r="P309" s="46"/>
      <c r="Q309" s="367"/>
      <c r="R309" s="46"/>
      <c r="S309" s="88">
        <f t="shared" si="17"/>
        <v>0</v>
      </c>
      <c r="T309" s="376"/>
      <c r="U309" s="46"/>
    </row>
    <row r="310" spans="1:21" x14ac:dyDescent="0.2">
      <c r="A310" s="8">
        <f t="shared" si="16"/>
        <v>300</v>
      </c>
      <c r="B310" s="929"/>
      <c r="C310" s="929"/>
      <c r="D310" s="47"/>
      <c r="E310" s="39"/>
      <c r="F310" s="366"/>
      <c r="G310" s="49"/>
      <c r="H310" s="368"/>
      <c r="I310" s="49"/>
      <c r="J310" s="88">
        <f t="shared" si="15"/>
        <v>0</v>
      </c>
      <c r="K310" s="372"/>
      <c r="L310" s="49"/>
      <c r="M310" s="41"/>
      <c r="N310" s="363"/>
      <c r="O310" s="47"/>
      <c r="P310" s="49"/>
      <c r="Q310" s="368"/>
      <c r="R310" s="49"/>
      <c r="S310" s="88">
        <f t="shared" si="17"/>
        <v>0</v>
      </c>
      <c r="T310" s="377"/>
      <c r="U310" s="49"/>
    </row>
  </sheetData>
  <sheetProtection password="CC6F" sheet="1" objects="1" scenarios="1" formatColumns="0" selectLockedCells="1"/>
  <dataConsolidate/>
  <mergeCells count="309">
    <mergeCell ref="B6:C6"/>
    <mergeCell ref="B7:C7"/>
    <mergeCell ref="B3:C3"/>
    <mergeCell ref="B4:C4"/>
    <mergeCell ref="B5:C5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25:C25"/>
    <mergeCell ref="B26:C26"/>
    <mergeCell ref="B27:C27"/>
    <mergeCell ref="B28:C28"/>
    <mergeCell ref="B29:C29"/>
    <mergeCell ref="B20:C20"/>
    <mergeCell ref="B21:C21"/>
    <mergeCell ref="B22:C22"/>
    <mergeCell ref="B23:C23"/>
    <mergeCell ref="B24:C24"/>
    <mergeCell ref="B35:C35"/>
    <mergeCell ref="B36:C36"/>
    <mergeCell ref="B37:C37"/>
    <mergeCell ref="B38:C38"/>
    <mergeCell ref="B39:C39"/>
    <mergeCell ref="B30:C30"/>
    <mergeCell ref="B31:C31"/>
    <mergeCell ref="B32:C32"/>
    <mergeCell ref="B33:C33"/>
    <mergeCell ref="B34:C3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310:C310"/>
    <mergeCell ref="B1:D2"/>
    <mergeCell ref="E1:L2"/>
    <mergeCell ref="N1:U2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</mergeCells>
  <dataValidations xWindow="29" yWindow="328" count="4">
    <dataValidation type="list" showErrorMessage="1" error="You must enter the member's year in school from the drop down list" prompt="Enter the member's year in school" sqref="D11:D310" xr:uid="{00000000-0002-0000-0200-000000000000}">
      <formula1>$AD$1:$AD$4</formula1>
    </dataValidation>
    <dataValidation type="list" prompt="If this member is a chapter officer, select his position from the drop down list" sqref="F11:F310 O11:O310" xr:uid="{00000000-0002-0000-0200-000001000000}">
      <formula1>$AG$1:$AG$12</formula1>
    </dataValidation>
    <dataValidation type="list" showErrorMessage="1" error="You must select the appropriate membership status from the drop down list" prompt="Enter this man's membership status" sqref="E11:E310" xr:uid="{00000000-0002-0000-0200-000002000000}">
      <formula1>$AE$1:$AE$4</formula1>
    </dataValidation>
    <dataValidation type="list" showErrorMessage="1" error="You must enter the appropriate membership status from the drop down list" prompt="Enter this man's membership status" sqref="N11:N310" xr:uid="{00000000-0002-0000-0200-000003000000}">
      <formula1>$AF$1:$AF$5</formula1>
    </dataValidation>
  </dataValidations>
  <pageMargins left="0.7" right="0.7" top="0.75" bottom="0.75" header="0.3" footer="0.3"/>
  <pageSetup paperSize="9" scale="99" orientation="landscape" verticalDpi="0" r:id="rId1"/>
  <colBreaks count="2" manualBreakCount="2">
    <brk id="12" max="309" man="1"/>
    <brk id="21" max="30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76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9" sqref="H9:H10"/>
    </sheetView>
  </sheetViews>
  <sheetFormatPr defaultColWidth="9.140625" defaultRowHeight="12.75" x14ac:dyDescent="0.2"/>
  <cols>
    <col min="1" max="1" width="30" style="8" bestFit="1" customWidth="1"/>
    <col min="2" max="2" width="12.7109375" style="8" bestFit="1" customWidth="1"/>
    <col min="3" max="3" width="12.140625" style="8" customWidth="1"/>
    <col min="4" max="4" width="12.42578125" style="8" customWidth="1"/>
    <col min="5" max="5" width="12.7109375" style="8" bestFit="1" customWidth="1"/>
    <col min="6" max="6" width="1.140625" style="9" customWidth="1"/>
    <col min="7" max="7" width="11.28515625" style="8" customWidth="1"/>
    <col min="8" max="8" width="13.140625" style="8" bestFit="1" customWidth="1"/>
    <col min="9" max="9" width="11.5703125" style="8" bestFit="1" customWidth="1"/>
    <col min="10" max="10" width="12.7109375" style="8" bestFit="1" customWidth="1"/>
    <col min="11" max="11" width="9.85546875" style="8" bestFit="1" customWidth="1"/>
    <col min="12" max="12" width="11.5703125" style="8" customWidth="1"/>
    <col min="13" max="13" width="10" style="8" bestFit="1" customWidth="1"/>
    <col min="14" max="26" width="9.140625" style="8"/>
    <col min="27" max="29" width="9.140625" style="8" hidden="1" customWidth="1"/>
    <col min="30" max="16384" width="9.140625" style="8"/>
  </cols>
  <sheetData>
    <row r="1" spans="1:29" ht="15.75" x14ac:dyDescent="0.25">
      <c r="B1" s="995" t="s">
        <v>9</v>
      </c>
      <c r="C1" s="995"/>
      <c r="D1" s="995"/>
      <c r="E1" s="995"/>
      <c r="F1" s="144"/>
      <c r="G1" s="995" t="s">
        <v>10</v>
      </c>
      <c r="H1" s="995"/>
      <c r="I1" s="995"/>
      <c r="J1" s="995"/>
      <c r="AA1" s="8" t="s">
        <v>111</v>
      </c>
      <c r="AB1" s="8" t="s">
        <v>120</v>
      </c>
      <c r="AC1" s="8" t="s">
        <v>121</v>
      </c>
    </row>
    <row r="2" spans="1:29" ht="42" customHeight="1" x14ac:dyDescent="0.2">
      <c r="A2" s="230" t="s">
        <v>125</v>
      </c>
      <c r="B2" s="395" t="s">
        <v>113</v>
      </c>
      <c r="C2" s="146" t="s">
        <v>112</v>
      </c>
      <c r="D2" s="395" t="s">
        <v>49</v>
      </c>
      <c r="E2" s="146" t="s">
        <v>116</v>
      </c>
      <c r="F2" s="147"/>
      <c r="G2" s="395" t="s">
        <v>113</v>
      </c>
      <c r="H2" s="146" t="s">
        <v>112</v>
      </c>
      <c r="I2" s="395" t="s">
        <v>49</v>
      </c>
      <c r="J2" s="146" t="s">
        <v>116</v>
      </c>
      <c r="AA2" s="8">
        <v>1</v>
      </c>
      <c r="AB2" s="8" t="s">
        <v>187</v>
      </c>
      <c r="AC2" s="148">
        <v>0</v>
      </c>
    </row>
    <row r="3" spans="1:29" x14ac:dyDescent="0.2">
      <c r="A3" s="944" t="s">
        <v>47</v>
      </c>
      <c r="B3" s="973">
        <v>1</v>
      </c>
      <c r="C3" s="997" t="str">
        <f>IF(B3=1,"$140.00",IF(B3=2,"$165.00",IF(B3=3,"$185.00",IF(B3=4,"$195.00",IF(B3=5,"$220.00","ERROR")))))</f>
        <v>$140.00</v>
      </c>
      <c r="D3" s="999">
        <f>'Membership Record'!G3</f>
        <v>0</v>
      </c>
      <c r="E3" s="942">
        <f>IF(ISERROR(C3*D3),0,C3*D3)</f>
        <v>0</v>
      </c>
      <c r="F3" s="149"/>
      <c r="G3" s="947">
        <f>B3</f>
        <v>1</v>
      </c>
      <c r="H3" s="1000" t="str">
        <f>IF(G3=1,"$140.00",IF(G3=2,"$165.00",IF(G3=3,"$185.00",IF(G3=4,"$195.00",IF(G3=5,"$220.00","ERROR")))))</f>
        <v>$140.00</v>
      </c>
      <c r="I3" s="1002">
        <f>'Membership Record'!P3</f>
        <v>0</v>
      </c>
      <c r="J3" s="1004">
        <f>IF(ISERROR(H3*I3),0,H3*I3)</f>
        <v>0</v>
      </c>
      <c r="AA3" s="8">
        <v>2</v>
      </c>
      <c r="AB3" s="8" t="s">
        <v>199</v>
      </c>
      <c r="AC3" s="148">
        <v>0.01</v>
      </c>
    </row>
    <row r="4" spans="1:29" x14ac:dyDescent="0.2">
      <c r="A4" s="941"/>
      <c r="B4" s="974"/>
      <c r="C4" s="998"/>
      <c r="D4" s="978"/>
      <c r="E4" s="943"/>
      <c r="F4" s="150"/>
      <c r="G4" s="949"/>
      <c r="H4" s="1001"/>
      <c r="I4" s="1003"/>
      <c r="J4" s="989"/>
      <c r="AA4" s="8">
        <v>3</v>
      </c>
      <c r="AC4" s="148">
        <v>0.02</v>
      </c>
    </row>
    <row r="5" spans="1:29" ht="40.5" customHeight="1" x14ac:dyDescent="0.2">
      <c r="A5" s="940" t="s">
        <v>46</v>
      </c>
      <c r="C5" s="210"/>
      <c r="D5" s="397" t="s">
        <v>115</v>
      </c>
      <c r="E5" s="214"/>
      <c r="H5" s="210"/>
      <c r="I5" s="396" t="s">
        <v>115</v>
      </c>
      <c r="J5" s="220"/>
      <c r="AA5" s="8">
        <v>4</v>
      </c>
      <c r="AC5" s="148">
        <v>0.03</v>
      </c>
    </row>
    <row r="6" spans="1:29" x14ac:dyDescent="0.2">
      <c r="A6" s="944"/>
      <c r="B6" s="948" t="s">
        <v>198</v>
      </c>
      <c r="C6" s="987">
        <v>72.5</v>
      </c>
      <c r="D6" s="992">
        <f>'Membership Record'!F6</f>
        <v>0</v>
      </c>
      <c r="E6" s="994">
        <f>C6*D6</f>
        <v>0</v>
      </c>
      <c r="F6" s="41"/>
      <c r="G6" s="948" t="s">
        <v>198</v>
      </c>
      <c r="H6" s="987">
        <v>72.5</v>
      </c>
      <c r="I6" s="947">
        <f>'Membership Record'!O6</f>
        <v>0</v>
      </c>
      <c r="J6" s="988">
        <f>H6*I6</f>
        <v>0</v>
      </c>
      <c r="AA6" s="8">
        <v>5</v>
      </c>
      <c r="AC6" s="148">
        <v>0.04</v>
      </c>
    </row>
    <row r="7" spans="1:29" x14ac:dyDescent="0.2">
      <c r="A7" s="941"/>
      <c r="B7" s="949"/>
      <c r="C7" s="987"/>
      <c r="D7" s="993"/>
      <c r="E7" s="943"/>
      <c r="F7" s="25"/>
      <c r="G7" s="949"/>
      <c r="H7" s="987"/>
      <c r="I7" s="949"/>
      <c r="J7" s="989"/>
      <c r="AC7" s="153">
        <v>0.05</v>
      </c>
    </row>
    <row r="8" spans="1:29" ht="40.5" customHeight="1" x14ac:dyDescent="0.2">
      <c r="A8" s="940" t="s">
        <v>53</v>
      </c>
      <c r="C8" s="210"/>
      <c r="D8" s="397" t="s">
        <v>114</v>
      </c>
      <c r="E8" s="214"/>
      <c r="H8" s="210"/>
      <c r="I8" s="396" t="s">
        <v>114</v>
      </c>
      <c r="J8" s="220"/>
      <c r="AC8" s="153">
        <v>0.06</v>
      </c>
    </row>
    <row r="9" spans="1:29" x14ac:dyDescent="0.2">
      <c r="A9" s="944"/>
      <c r="B9" s="948" t="s">
        <v>198</v>
      </c>
      <c r="C9" s="990"/>
      <c r="D9" s="992">
        <f>'Membership Record'!F7</f>
        <v>0</v>
      </c>
      <c r="E9" s="994">
        <f>C9*D9</f>
        <v>0</v>
      </c>
      <c r="F9" s="41"/>
      <c r="G9" s="948" t="s">
        <v>198</v>
      </c>
      <c r="H9" s="990"/>
      <c r="I9" s="947">
        <f>'Membership Record'!O7</f>
        <v>0</v>
      </c>
      <c r="J9" s="988">
        <f>H9*I9</f>
        <v>0</v>
      </c>
      <c r="AC9" s="153">
        <v>7.0000000000000007E-2</v>
      </c>
    </row>
    <row r="10" spans="1:29" x14ac:dyDescent="0.2">
      <c r="A10" s="941"/>
      <c r="B10" s="949"/>
      <c r="C10" s="991"/>
      <c r="D10" s="993"/>
      <c r="E10" s="943"/>
      <c r="F10" s="25"/>
      <c r="G10" s="948"/>
      <c r="H10" s="991"/>
      <c r="I10" s="948"/>
      <c r="J10" s="989"/>
      <c r="AC10" s="153">
        <v>0.08</v>
      </c>
    </row>
    <row r="11" spans="1:29" x14ac:dyDescent="0.2">
      <c r="A11" s="940" t="s">
        <v>48</v>
      </c>
      <c r="B11" s="948" t="s">
        <v>198</v>
      </c>
      <c r="C11" s="951" t="s">
        <v>198</v>
      </c>
      <c r="D11" s="948" t="s">
        <v>198</v>
      </c>
      <c r="E11" s="942">
        <v>1400</v>
      </c>
      <c r="F11" s="154"/>
      <c r="G11" s="947" t="s">
        <v>198</v>
      </c>
      <c r="H11" s="951" t="s">
        <v>198</v>
      </c>
      <c r="I11" s="947" t="s">
        <v>198</v>
      </c>
      <c r="J11" s="971">
        <v>1400</v>
      </c>
      <c r="AC11" s="153">
        <v>0.09</v>
      </c>
    </row>
    <row r="12" spans="1:29" x14ac:dyDescent="0.2">
      <c r="A12" s="941"/>
      <c r="B12" s="948"/>
      <c r="C12" s="951"/>
      <c r="D12" s="948"/>
      <c r="E12" s="943"/>
      <c r="F12" s="25"/>
      <c r="G12" s="948"/>
      <c r="H12" s="951"/>
      <c r="I12" s="948"/>
      <c r="J12" s="972"/>
      <c r="AC12" s="153">
        <v>0.1</v>
      </c>
    </row>
    <row r="13" spans="1:29" ht="38.25" x14ac:dyDescent="0.2">
      <c r="A13" s="940" t="s">
        <v>50</v>
      </c>
      <c r="B13" s="151" t="s">
        <v>456</v>
      </c>
      <c r="C13" s="211"/>
      <c r="D13" s="792" t="s">
        <v>49</v>
      </c>
      <c r="E13" s="79"/>
      <c r="G13" s="80"/>
      <c r="H13" s="219"/>
      <c r="I13" s="155"/>
      <c r="J13" s="221"/>
    </row>
    <row r="14" spans="1:29" x14ac:dyDescent="0.2">
      <c r="A14" s="944"/>
      <c r="B14" s="973"/>
      <c r="C14" s="975">
        <v>25</v>
      </c>
      <c r="D14" s="977">
        <f>'Membership Record'!G3</f>
        <v>0</v>
      </c>
      <c r="E14" s="979">
        <f>IF(AND(B14="Yes"),"$0.00",C14*D14)</f>
        <v>0</v>
      </c>
      <c r="F14" s="41"/>
      <c r="G14" s="156"/>
      <c r="H14" s="981">
        <v>0</v>
      </c>
      <c r="I14" s="983">
        <v>0</v>
      </c>
      <c r="J14" s="985">
        <v>0</v>
      </c>
    </row>
    <row r="15" spans="1:29" x14ac:dyDescent="0.2">
      <c r="A15" s="941"/>
      <c r="B15" s="974"/>
      <c r="C15" s="976"/>
      <c r="D15" s="978"/>
      <c r="E15" s="980"/>
      <c r="F15" s="25"/>
      <c r="G15" s="28"/>
      <c r="H15" s="982"/>
      <c r="I15" s="984"/>
      <c r="J15" s="986"/>
    </row>
    <row r="16" spans="1:29" ht="29.25" customHeight="1" x14ac:dyDescent="0.2">
      <c r="A16" s="50"/>
      <c r="B16" s="157" t="s">
        <v>117</v>
      </c>
      <c r="C16" s="152" t="s">
        <v>118</v>
      </c>
      <c r="D16" s="152" t="s">
        <v>119</v>
      </c>
      <c r="E16" s="211"/>
      <c r="G16" s="157" t="s">
        <v>117</v>
      </c>
      <c r="H16" s="152" t="s">
        <v>118</v>
      </c>
      <c r="I16" s="152" t="s">
        <v>119</v>
      </c>
      <c r="J16" s="216"/>
    </row>
    <row r="17" spans="1:10" x14ac:dyDescent="0.2">
      <c r="A17" s="56" t="s">
        <v>54</v>
      </c>
      <c r="B17" s="781"/>
      <c r="C17" s="782">
        <v>0</v>
      </c>
      <c r="D17" s="186">
        <f>B17*C17</f>
        <v>0</v>
      </c>
      <c r="E17" s="783">
        <f>B17+D17</f>
        <v>0</v>
      </c>
      <c r="G17" s="781"/>
      <c r="H17" s="782">
        <v>0</v>
      </c>
      <c r="I17" s="186">
        <f t="shared" ref="I17:I19" si="0">G17*H17</f>
        <v>0</v>
      </c>
      <c r="J17" s="783">
        <f t="shared" ref="J17:J19" si="1">G17+I17</f>
        <v>0</v>
      </c>
    </row>
    <row r="18" spans="1:10" x14ac:dyDescent="0.2">
      <c r="A18" s="56" t="s">
        <v>55</v>
      </c>
      <c r="B18" s="784"/>
      <c r="C18" s="785">
        <v>0</v>
      </c>
      <c r="D18" s="192">
        <f t="shared" ref="D18:D19" si="2">B18*C18</f>
        <v>0</v>
      </c>
      <c r="E18" s="786">
        <f t="shared" ref="E18:E19" si="3">B18+D18</f>
        <v>0</v>
      </c>
      <c r="G18" s="784"/>
      <c r="H18" s="785">
        <v>0</v>
      </c>
      <c r="I18" s="192">
        <f t="shared" si="0"/>
        <v>0</v>
      </c>
      <c r="J18" s="786">
        <f t="shared" si="1"/>
        <v>0</v>
      </c>
    </row>
    <row r="19" spans="1:10" x14ac:dyDescent="0.2">
      <c r="A19" s="56" t="s">
        <v>61</v>
      </c>
      <c r="B19" s="787"/>
      <c r="C19" s="788">
        <v>0</v>
      </c>
      <c r="D19" s="199">
        <f t="shared" si="2"/>
        <v>0</v>
      </c>
      <c r="E19" s="789">
        <f t="shared" si="3"/>
        <v>0</v>
      </c>
      <c r="G19" s="787"/>
      <c r="H19" s="788">
        <v>0</v>
      </c>
      <c r="I19" s="199">
        <f t="shared" si="0"/>
        <v>0</v>
      </c>
      <c r="J19" s="789">
        <f t="shared" si="1"/>
        <v>0</v>
      </c>
    </row>
    <row r="20" spans="1:10" ht="4.5" customHeight="1" x14ac:dyDescent="0.2">
      <c r="A20" s="296"/>
      <c r="B20" s="159"/>
      <c r="C20" s="212"/>
      <c r="D20" s="159"/>
      <c r="E20" s="215"/>
      <c r="F20" s="25"/>
      <c r="G20" s="28"/>
      <c r="H20" s="28"/>
      <c r="I20" s="28"/>
      <c r="J20" s="222"/>
    </row>
    <row r="21" spans="1:10" ht="28.5" customHeight="1" x14ac:dyDescent="0.2">
      <c r="A21" s="940" t="s">
        <v>80</v>
      </c>
      <c r="B21" s="160" t="s">
        <v>122</v>
      </c>
      <c r="C21" s="145" t="s">
        <v>123</v>
      </c>
      <c r="D21" s="145" t="s">
        <v>124</v>
      </c>
      <c r="E21" s="216"/>
      <c r="G21" s="780" t="s">
        <v>122</v>
      </c>
      <c r="H21" s="152" t="s">
        <v>123</v>
      </c>
      <c r="I21" s="151" t="s">
        <v>124</v>
      </c>
      <c r="J21" s="216"/>
    </row>
    <row r="22" spans="1:10" x14ac:dyDescent="0.2">
      <c r="A22" s="944"/>
      <c r="B22" s="962"/>
      <c r="C22" s="964">
        <f>B22*0.25</f>
        <v>0</v>
      </c>
      <c r="D22" s="966">
        <f>B22*0.5</f>
        <v>0</v>
      </c>
      <c r="E22" s="960"/>
      <c r="F22" s="41"/>
      <c r="G22" s="968"/>
      <c r="H22" s="969">
        <f>G22*0.25</f>
        <v>0</v>
      </c>
      <c r="I22" s="970">
        <f>G22*0.5</f>
        <v>0</v>
      </c>
      <c r="J22" s="960"/>
    </row>
    <row r="23" spans="1:10" x14ac:dyDescent="0.2">
      <c r="A23" s="941"/>
      <c r="B23" s="963"/>
      <c r="C23" s="965"/>
      <c r="D23" s="967"/>
      <c r="E23" s="961"/>
      <c r="F23" s="25"/>
      <c r="G23" s="963"/>
      <c r="H23" s="965"/>
      <c r="I23" s="967"/>
      <c r="J23" s="961"/>
    </row>
    <row r="24" spans="1:10" ht="15" customHeight="1" x14ac:dyDescent="0.2">
      <c r="A24" s="940" t="s">
        <v>346</v>
      </c>
      <c r="B24" s="947" t="s">
        <v>198</v>
      </c>
      <c r="C24" s="950" t="s">
        <v>198</v>
      </c>
      <c r="D24" s="947" t="s">
        <v>198</v>
      </c>
      <c r="E24" s="1005">
        <f>'House-Kitchen Budget Worksheet'!H53</f>
        <v>0</v>
      </c>
      <c r="F24" s="41"/>
      <c r="G24" s="947" t="s">
        <v>198</v>
      </c>
      <c r="H24" s="950" t="s">
        <v>198</v>
      </c>
      <c r="I24" s="947" t="s">
        <v>198</v>
      </c>
      <c r="J24" s="1007">
        <f>'House-Kitchen Budget Worksheet'!H54</f>
        <v>0</v>
      </c>
    </row>
    <row r="25" spans="1:10" x14ac:dyDescent="0.2">
      <c r="A25" s="944"/>
      <c r="B25" s="948"/>
      <c r="C25" s="951"/>
      <c r="D25" s="948"/>
      <c r="E25" s="1005"/>
      <c r="F25" s="41"/>
      <c r="G25" s="948"/>
      <c r="H25" s="951"/>
      <c r="I25" s="948"/>
      <c r="J25" s="1008"/>
    </row>
    <row r="26" spans="1:10" x14ac:dyDescent="0.2">
      <c r="A26" s="944"/>
      <c r="B26" s="949"/>
      <c r="C26" s="952"/>
      <c r="D26" s="949"/>
      <c r="E26" s="1006"/>
      <c r="F26" s="41"/>
      <c r="G26" s="949"/>
      <c r="H26" s="952"/>
      <c r="I26" s="949"/>
      <c r="J26" s="1009"/>
    </row>
    <row r="27" spans="1:10" s="120" customFormat="1" ht="18" customHeight="1" x14ac:dyDescent="0.25">
      <c r="A27" s="957" t="s">
        <v>127</v>
      </c>
      <c r="B27" s="953" t="s">
        <v>198</v>
      </c>
      <c r="C27" s="955" t="s">
        <v>198</v>
      </c>
      <c r="D27" s="953" t="s">
        <v>198</v>
      </c>
      <c r="E27" s="945">
        <f>IF(ISERROR(SUM(E3:E26)),0,(SUM(E3:E26)))</f>
        <v>1400</v>
      </c>
      <c r="F27" s="122"/>
      <c r="G27" s="953" t="s">
        <v>198</v>
      </c>
      <c r="H27" s="955" t="s">
        <v>198</v>
      </c>
      <c r="I27" s="953" t="s">
        <v>198</v>
      </c>
      <c r="J27" s="945">
        <f>IF(ISERROR(SUM(J3:J26)),0,SUM(J3:J26))</f>
        <v>1400</v>
      </c>
    </row>
    <row r="28" spans="1:10" x14ac:dyDescent="0.2">
      <c r="A28" s="932"/>
      <c r="B28" s="954"/>
      <c r="C28" s="956"/>
      <c r="D28" s="954"/>
      <c r="E28" s="946"/>
      <c r="G28" s="954"/>
      <c r="H28" s="956"/>
      <c r="I28" s="954"/>
      <c r="J28" s="946"/>
    </row>
    <row r="29" spans="1:10" ht="15.75" x14ac:dyDescent="0.25">
      <c r="A29" s="412" t="s">
        <v>130</v>
      </c>
      <c r="B29" s="80"/>
      <c r="C29" s="213" t="s">
        <v>198</v>
      </c>
      <c r="D29" s="80"/>
      <c r="E29" s="217">
        <f>IF(ISERROR(E27/'Membership Record'!F7),0,E27/'Membership Record'!F7)</f>
        <v>0</v>
      </c>
      <c r="F29" s="154"/>
      <c r="G29" s="161"/>
      <c r="H29" s="213" t="s">
        <v>198</v>
      </c>
      <c r="I29" s="80"/>
      <c r="J29" s="223">
        <f>IF(ISERROR(J27/'Membership Record'!O7),0,J27/'Membership Record'!O7)</f>
        <v>0</v>
      </c>
    </row>
    <row r="30" spans="1:10" ht="15.75" x14ac:dyDescent="0.25">
      <c r="A30" s="165" t="s">
        <v>129</v>
      </c>
      <c r="B30" s="162"/>
      <c r="C30" s="213" t="s">
        <v>198</v>
      </c>
      <c r="D30" s="162"/>
      <c r="E30" s="218">
        <f>IF(ISERROR(E27/'Membership Record'!F6),0,E27/'Membership Record'!F6)</f>
        <v>0</v>
      </c>
      <c r="F30" s="163"/>
      <c r="G30" s="162"/>
      <c r="H30" s="213" t="s">
        <v>198</v>
      </c>
      <c r="I30" s="162"/>
      <c r="J30" s="224">
        <f>IF(ISERROR(J27/'Membership Record'!O6),0,J27/'Membership Record'!O6)</f>
        <v>0</v>
      </c>
    </row>
    <row r="31" spans="1:10" x14ac:dyDescent="0.2">
      <c r="A31" s="30"/>
      <c r="C31" s="119"/>
      <c r="E31" s="79"/>
      <c r="H31" s="119"/>
      <c r="J31" s="14"/>
    </row>
    <row r="32" spans="1:10" ht="15" customHeight="1" x14ac:dyDescent="0.2">
      <c r="A32" s="996" t="s">
        <v>126</v>
      </c>
      <c r="B32" s="164"/>
      <c r="C32" s="398"/>
      <c r="E32" s="79"/>
      <c r="G32" s="164"/>
      <c r="H32" s="398"/>
      <c r="J32" s="79"/>
    </row>
    <row r="33" spans="1:10" x14ac:dyDescent="0.2">
      <c r="A33" s="996"/>
      <c r="C33" s="119"/>
      <c r="E33" s="119"/>
      <c r="H33" s="119"/>
      <c r="J33" s="119"/>
    </row>
    <row r="34" spans="1:10" x14ac:dyDescent="0.2">
      <c r="A34" s="996"/>
      <c r="B34" s="12" t="s">
        <v>109</v>
      </c>
      <c r="C34" s="225" t="s">
        <v>110</v>
      </c>
      <c r="D34" s="12" t="s">
        <v>51</v>
      </c>
      <c r="E34" s="119"/>
      <c r="G34" s="12" t="s">
        <v>109</v>
      </c>
      <c r="H34" s="225" t="s">
        <v>110</v>
      </c>
      <c r="I34" s="12" t="s">
        <v>51</v>
      </c>
      <c r="J34" s="119"/>
    </row>
    <row r="35" spans="1:10" x14ac:dyDescent="0.2">
      <c r="A35" s="50" t="s">
        <v>81</v>
      </c>
      <c r="B35" s="42"/>
      <c r="C35" s="771"/>
      <c r="D35" s="772">
        <f>B35+C35</f>
        <v>0</v>
      </c>
      <c r="E35" s="773"/>
      <c r="G35" s="42"/>
      <c r="H35" s="771"/>
      <c r="I35" s="772">
        <f t="shared" ref="I35:I59" si="4">G35+H35</f>
        <v>0</v>
      </c>
      <c r="J35" s="119"/>
    </row>
    <row r="36" spans="1:10" x14ac:dyDescent="0.2">
      <c r="A36" s="50" t="s">
        <v>57</v>
      </c>
      <c r="B36" s="46"/>
      <c r="C36" s="774"/>
      <c r="D36" s="775">
        <f t="shared" ref="D36:D59" si="5">B36+C36</f>
        <v>0</v>
      </c>
      <c r="E36" s="767"/>
      <c r="G36" s="46"/>
      <c r="H36" s="774"/>
      <c r="I36" s="775">
        <f t="shared" si="4"/>
        <v>0</v>
      </c>
      <c r="J36" s="119"/>
    </row>
    <row r="37" spans="1:10" x14ac:dyDescent="0.2">
      <c r="A37" s="50" t="s">
        <v>69</v>
      </c>
      <c r="B37" s="46"/>
      <c r="C37" s="774"/>
      <c r="D37" s="775">
        <f t="shared" si="5"/>
        <v>0</v>
      </c>
      <c r="E37" s="767"/>
      <c r="G37" s="46"/>
      <c r="H37" s="774"/>
      <c r="I37" s="775">
        <f t="shared" si="4"/>
        <v>0</v>
      </c>
      <c r="J37" s="119"/>
    </row>
    <row r="38" spans="1:10" x14ac:dyDescent="0.2">
      <c r="A38" s="50" t="s">
        <v>58</v>
      </c>
      <c r="B38" s="46"/>
      <c r="C38" s="774"/>
      <c r="D38" s="775">
        <f t="shared" si="5"/>
        <v>0</v>
      </c>
      <c r="E38" s="767"/>
      <c r="G38" s="46"/>
      <c r="H38" s="774"/>
      <c r="I38" s="775">
        <f t="shared" si="4"/>
        <v>0</v>
      </c>
      <c r="J38" s="119"/>
    </row>
    <row r="39" spans="1:10" x14ac:dyDescent="0.2">
      <c r="A39" s="50" t="s">
        <v>59</v>
      </c>
      <c r="B39" s="46"/>
      <c r="C39" s="774"/>
      <c r="D39" s="775">
        <f t="shared" si="5"/>
        <v>0</v>
      </c>
      <c r="E39" s="767"/>
      <c r="G39" s="46"/>
      <c r="H39" s="774"/>
      <c r="I39" s="775">
        <f t="shared" si="4"/>
        <v>0</v>
      </c>
      <c r="J39" s="119"/>
    </row>
    <row r="40" spans="1:10" x14ac:dyDescent="0.2">
      <c r="A40" s="50" t="s">
        <v>74</v>
      </c>
      <c r="B40" s="46"/>
      <c r="C40" s="774"/>
      <c r="D40" s="775">
        <f t="shared" si="5"/>
        <v>0</v>
      </c>
      <c r="E40" s="767"/>
      <c r="G40" s="46"/>
      <c r="H40" s="774"/>
      <c r="I40" s="775">
        <f t="shared" si="4"/>
        <v>0</v>
      </c>
      <c r="J40" s="119"/>
    </row>
    <row r="41" spans="1:10" x14ac:dyDescent="0.2">
      <c r="A41" s="50" t="s">
        <v>70</v>
      </c>
      <c r="B41" s="46"/>
      <c r="C41" s="774"/>
      <c r="D41" s="775">
        <f t="shared" si="5"/>
        <v>0</v>
      </c>
      <c r="E41" s="767"/>
      <c r="G41" s="46"/>
      <c r="H41" s="774"/>
      <c r="I41" s="775">
        <f t="shared" si="4"/>
        <v>0</v>
      </c>
      <c r="J41" s="119"/>
    </row>
    <row r="42" spans="1:10" x14ac:dyDescent="0.2">
      <c r="A42" s="50" t="s">
        <v>60</v>
      </c>
      <c r="B42" s="46"/>
      <c r="C42" s="774"/>
      <c r="D42" s="775">
        <f t="shared" si="5"/>
        <v>0</v>
      </c>
      <c r="E42" s="767"/>
      <c r="G42" s="46"/>
      <c r="H42" s="774"/>
      <c r="I42" s="775">
        <f t="shared" si="4"/>
        <v>0</v>
      </c>
      <c r="J42" s="119"/>
    </row>
    <row r="43" spans="1:10" x14ac:dyDescent="0.2">
      <c r="A43" s="50" t="s">
        <v>62</v>
      </c>
      <c r="B43" s="46"/>
      <c r="C43" s="774"/>
      <c r="D43" s="775">
        <f t="shared" si="5"/>
        <v>0</v>
      </c>
      <c r="E43" s="767"/>
      <c r="G43" s="46"/>
      <c r="H43" s="774"/>
      <c r="I43" s="775">
        <f t="shared" si="4"/>
        <v>0</v>
      </c>
      <c r="J43" s="119"/>
    </row>
    <row r="44" spans="1:10" x14ac:dyDescent="0.2">
      <c r="A44" s="50" t="s">
        <v>63</v>
      </c>
      <c r="B44" s="46"/>
      <c r="C44" s="774"/>
      <c r="D44" s="775">
        <f t="shared" si="5"/>
        <v>0</v>
      </c>
      <c r="E44" s="767"/>
      <c r="G44" s="46"/>
      <c r="H44" s="774"/>
      <c r="I44" s="775">
        <f t="shared" si="4"/>
        <v>0</v>
      </c>
      <c r="J44" s="119"/>
    </row>
    <row r="45" spans="1:10" x14ac:dyDescent="0.2">
      <c r="A45" s="50" t="s">
        <v>64</v>
      </c>
      <c r="B45" s="46"/>
      <c r="C45" s="774"/>
      <c r="D45" s="775">
        <f t="shared" si="5"/>
        <v>0</v>
      </c>
      <c r="E45" s="767"/>
      <c r="G45" s="46"/>
      <c r="H45" s="774"/>
      <c r="I45" s="775">
        <f t="shared" si="4"/>
        <v>0</v>
      </c>
      <c r="J45" s="119"/>
    </row>
    <row r="46" spans="1:10" x14ac:dyDescent="0.2">
      <c r="A46" s="50" t="s">
        <v>65</v>
      </c>
      <c r="B46" s="46"/>
      <c r="C46" s="774"/>
      <c r="D46" s="775">
        <f t="shared" si="5"/>
        <v>0</v>
      </c>
      <c r="E46" s="767"/>
      <c r="G46" s="46"/>
      <c r="H46" s="774"/>
      <c r="I46" s="775">
        <f t="shared" si="4"/>
        <v>0</v>
      </c>
      <c r="J46" s="119"/>
    </row>
    <row r="47" spans="1:10" x14ac:dyDescent="0.2">
      <c r="A47" s="50" t="s">
        <v>66</v>
      </c>
      <c r="B47" s="46"/>
      <c r="C47" s="774"/>
      <c r="D47" s="775">
        <f t="shared" si="5"/>
        <v>0</v>
      </c>
      <c r="E47" s="767"/>
      <c r="G47" s="46"/>
      <c r="H47" s="774"/>
      <c r="I47" s="775">
        <f t="shared" si="4"/>
        <v>0</v>
      </c>
      <c r="J47" s="119"/>
    </row>
    <row r="48" spans="1:10" x14ac:dyDescent="0.2">
      <c r="A48" s="50" t="s">
        <v>68</v>
      </c>
      <c r="B48" s="46"/>
      <c r="C48" s="774"/>
      <c r="D48" s="775">
        <f t="shared" si="5"/>
        <v>0</v>
      </c>
      <c r="E48" s="767"/>
      <c r="G48" s="46"/>
      <c r="H48" s="774"/>
      <c r="I48" s="775">
        <f t="shared" si="4"/>
        <v>0</v>
      </c>
      <c r="J48" s="119"/>
    </row>
    <row r="49" spans="1:10" x14ac:dyDescent="0.2">
      <c r="A49" s="50" t="s">
        <v>67</v>
      </c>
      <c r="B49" s="46"/>
      <c r="C49" s="774"/>
      <c r="D49" s="775">
        <f t="shared" si="5"/>
        <v>0</v>
      </c>
      <c r="E49" s="767"/>
      <c r="G49" s="46"/>
      <c r="H49" s="774"/>
      <c r="I49" s="775">
        <f t="shared" si="4"/>
        <v>0</v>
      </c>
      <c r="J49" s="119"/>
    </row>
    <row r="50" spans="1:10" x14ac:dyDescent="0.2">
      <c r="A50" s="50" t="s">
        <v>71</v>
      </c>
      <c r="B50" s="46"/>
      <c r="C50" s="774"/>
      <c r="D50" s="775">
        <f t="shared" si="5"/>
        <v>0</v>
      </c>
      <c r="E50" s="767"/>
      <c r="G50" s="46"/>
      <c r="H50" s="774"/>
      <c r="I50" s="775">
        <f t="shared" si="4"/>
        <v>0</v>
      </c>
      <c r="J50" s="119"/>
    </row>
    <row r="51" spans="1:10" x14ac:dyDescent="0.2">
      <c r="A51" s="50" t="s">
        <v>73</v>
      </c>
      <c r="B51" s="46"/>
      <c r="C51" s="774"/>
      <c r="D51" s="775">
        <f t="shared" si="5"/>
        <v>0</v>
      </c>
      <c r="E51" s="767"/>
      <c r="G51" s="46"/>
      <c r="H51" s="774"/>
      <c r="I51" s="775">
        <f t="shared" si="4"/>
        <v>0</v>
      </c>
      <c r="J51" s="119"/>
    </row>
    <row r="52" spans="1:10" x14ac:dyDescent="0.2">
      <c r="A52" s="50" t="s">
        <v>72</v>
      </c>
      <c r="B52" s="46"/>
      <c r="C52" s="774"/>
      <c r="D52" s="775">
        <f t="shared" si="5"/>
        <v>0</v>
      </c>
      <c r="E52" s="767"/>
      <c r="G52" s="46"/>
      <c r="H52" s="774"/>
      <c r="I52" s="775">
        <f t="shared" si="4"/>
        <v>0</v>
      </c>
      <c r="J52" s="119"/>
    </row>
    <row r="53" spans="1:10" x14ac:dyDescent="0.2">
      <c r="A53" s="50" t="s">
        <v>75</v>
      </c>
      <c r="B53" s="46"/>
      <c r="C53" s="774"/>
      <c r="D53" s="775">
        <f t="shared" si="5"/>
        <v>0</v>
      </c>
      <c r="E53" s="767"/>
      <c r="G53" s="46"/>
      <c r="H53" s="774"/>
      <c r="I53" s="775">
        <f t="shared" si="4"/>
        <v>0</v>
      </c>
      <c r="J53" s="119"/>
    </row>
    <row r="54" spans="1:10" x14ac:dyDescent="0.2">
      <c r="A54" s="50" t="s">
        <v>79</v>
      </c>
      <c r="B54" s="46"/>
      <c r="C54" s="774"/>
      <c r="D54" s="775">
        <f t="shared" si="5"/>
        <v>0</v>
      </c>
      <c r="E54" s="767"/>
      <c r="G54" s="46"/>
      <c r="H54" s="774"/>
      <c r="I54" s="775">
        <f t="shared" si="4"/>
        <v>0</v>
      </c>
      <c r="J54" s="119"/>
    </row>
    <row r="55" spans="1:10" x14ac:dyDescent="0.2">
      <c r="A55" s="791" t="s">
        <v>373</v>
      </c>
      <c r="B55" s="46"/>
      <c r="C55" s="774"/>
      <c r="D55" s="775">
        <f t="shared" si="5"/>
        <v>0</v>
      </c>
      <c r="E55" s="767"/>
      <c r="G55" s="46"/>
      <c r="H55" s="774"/>
      <c r="I55" s="775">
        <f t="shared" si="4"/>
        <v>0</v>
      </c>
      <c r="J55" s="119"/>
    </row>
    <row r="56" spans="1:10" x14ac:dyDescent="0.2">
      <c r="A56" s="197" t="s">
        <v>374</v>
      </c>
      <c r="B56" s="46"/>
      <c r="C56" s="774"/>
      <c r="D56" s="775">
        <f t="shared" si="5"/>
        <v>0</v>
      </c>
      <c r="E56" s="767"/>
      <c r="G56" s="46"/>
      <c r="H56" s="774"/>
      <c r="I56" s="775">
        <f t="shared" si="4"/>
        <v>0</v>
      </c>
      <c r="J56" s="119"/>
    </row>
    <row r="57" spans="1:10" x14ac:dyDescent="0.2">
      <c r="A57" s="197" t="s">
        <v>375</v>
      </c>
      <c r="B57" s="46"/>
      <c r="C57" s="774"/>
      <c r="D57" s="775">
        <f t="shared" si="5"/>
        <v>0</v>
      </c>
      <c r="E57" s="767"/>
      <c r="G57" s="46"/>
      <c r="H57" s="774"/>
      <c r="I57" s="775">
        <f t="shared" si="4"/>
        <v>0</v>
      </c>
      <c r="J57" s="119"/>
    </row>
    <row r="58" spans="1:10" x14ac:dyDescent="0.2">
      <c r="A58" s="197" t="s">
        <v>376</v>
      </c>
      <c r="B58" s="46"/>
      <c r="C58" s="774"/>
      <c r="D58" s="775">
        <f t="shared" si="5"/>
        <v>0</v>
      </c>
      <c r="E58" s="767"/>
      <c r="G58" s="46"/>
      <c r="H58" s="774"/>
      <c r="I58" s="775">
        <f t="shared" si="4"/>
        <v>0</v>
      </c>
      <c r="J58" s="119"/>
    </row>
    <row r="59" spans="1:10" ht="15" x14ac:dyDescent="0.35">
      <c r="A59" s="200" t="s">
        <v>377</v>
      </c>
      <c r="B59" s="776"/>
      <c r="C59" s="777"/>
      <c r="D59" s="778">
        <f t="shared" si="5"/>
        <v>0</v>
      </c>
      <c r="E59" s="779"/>
      <c r="G59" s="776"/>
      <c r="H59" s="777"/>
      <c r="I59" s="778">
        <f t="shared" si="4"/>
        <v>0</v>
      </c>
      <c r="J59" s="119"/>
    </row>
    <row r="60" spans="1:10" ht="15" customHeight="1" x14ac:dyDescent="0.2">
      <c r="A60" s="957" t="s">
        <v>128</v>
      </c>
      <c r="B60" s="1012">
        <f>SUM(B35:B59)</f>
        <v>0</v>
      </c>
      <c r="C60" s="1010">
        <f>SUM(C35:C59)</f>
        <v>0</v>
      </c>
      <c r="D60" s="958">
        <f>SUM(D35:D59)</f>
        <v>0</v>
      </c>
      <c r="E60" s="119"/>
      <c r="G60" s="1017">
        <f>SUM(G35:G59)</f>
        <v>0</v>
      </c>
      <c r="H60" s="1019">
        <f>SUM(H35:H59)</f>
        <v>0</v>
      </c>
      <c r="I60" s="1021">
        <f>SUM(I35:I59)</f>
        <v>0</v>
      </c>
      <c r="J60" s="119"/>
    </row>
    <row r="61" spans="1:10" ht="15.75" x14ac:dyDescent="0.25">
      <c r="A61" s="932"/>
      <c r="B61" s="1013"/>
      <c r="C61" s="1011"/>
      <c r="D61" s="959"/>
      <c r="E61" s="121"/>
      <c r="F61" s="122"/>
      <c r="G61" s="1018"/>
      <c r="H61" s="1020"/>
      <c r="I61" s="946"/>
      <c r="J61" s="119"/>
    </row>
    <row r="62" spans="1:10" x14ac:dyDescent="0.2">
      <c r="A62" s="412" t="s">
        <v>131</v>
      </c>
      <c r="B62" s="407">
        <f>IF(ISERROR(B60/'Membership Record'!F7),0,B60/'Membership Record'!F7)</f>
        <v>0</v>
      </c>
      <c r="C62" s="427"/>
      <c r="D62" s="413">
        <f>IF(ISERROR(D60/'Membership Record'!F7),0,D60/'Membership Record'!F7)</f>
        <v>0</v>
      </c>
      <c r="E62" s="219"/>
      <c r="F62" s="154"/>
      <c r="G62" s="407">
        <f>IF(ISERROR(G60/'Membership Record'!O7),0,G60/'Membership Record'!O7)</f>
        <v>0</v>
      </c>
      <c r="H62" s="435"/>
      <c r="I62" s="410">
        <f>IF(ISERROR(I60/'Membership Record'!O7),0,I60/'Membership Record'!O7)</f>
        <v>0</v>
      </c>
      <c r="J62" s="119"/>
    </row>
    <row r="63" spans="1:10" x14ac:dyDescent="0.2">
      <c r="A63" s="165" t="s">
        <v>132</v>
      </c>
      <c r="B63" s="408">
        <f>IF(ISERROR(B60/'Membership Record'!F6),0,B60/'Membership Record'!F6)</f>
        <v>0</v>
      </c>
      <c r="C63" s="428"/>
      <c r="D63" s="414">
        <f>IF(ISERROR(D60/'Membership Record'!F6),0,D60/'Membership Record'!F6)</f>
        <v>0</v>
      </c>
      <c r="E63" s="425"/>
      <c r="F63" s="163"/>
      <c r="G63" s="408">
        <f>IF(ISERROR(G60/'Membership Record'!O6),0,G60/'Membership Record'!O6)</f>
        <v>0</v>
      </c>
      <c r="H63" s="425"/>
      <c r="I63" s="411">
        <f>IF(ISERROR(I60/'Membership Record'!O6),0,I60/'Membership Record'!O6)</f>
        <v>0</v>
      </c>
      <c r="J63" s="119"/>
    </row>
    <row r="64" spans="1:10" x14ac:dyDescent="0.2">
      <c r="A64" s="415"/>
      <c r="B64" s="409"/>
      <c r="C64" s="426"/>
      <c r="D64" s="409"/>
      <c r="E64" s="426"/>
      <c r="F64" s="41"/>
      <c r="G64" s="409"/>
      <c r="H64" s="426"/>
      <c r="I64" s="409"/>
      <c r="J64" s="119"/>
    </row>
    <row r="65" spans="1:14" ht="13.5" thickBot="1" x14ac:dyDescent="0.25">
      <c r="A65" s="415"/>
      <c r="B65" s="409"/>
      <c r="C65" s="426"/>
      <c r="D65" s="409"/>
      <c r="E65" s="416" t="s">
        <v>9</v>
      </c>
      <c r="F65" s="41"/>
      <c r="G65" s="409"/>
      <c r="H65" s="426"/>
      <c r="I65" s="409"/>
      <c r="J65" s="22" t="s">
        <v>10</v>
      </c>
      <c r="L65" s="22" t="s">
        <v>36</v>
      </c>
    </row>
    <row r="66" spans="1:14" ht="15" customHeight="1" x14ac:dyDescent="0.25">
      <c r="A66" s="938" t="s">
        <v>347</v>
      </c>
      <c r="B66" s="420"/>
      <c r="C66" s="429"/>
      <c r="D66" s="421" t="s">
        <v>348</v>
      </c>
      <c r="E66" s="433">
        <f>E27+D60</f>
        <v>1400</v>
      </c>
      <c r="F66" s="422"/>
      <c r="G66" s="420"/>
      <c r="H66" s="436" t="s">
        <v>198</v>
      </c>
      <c r="I66" s="420"/>
      <c r="J66" s="433">
        <f>J27+I60</f>
        <v>1400</v>
      </c>
      <c r="K66" s="417" t="s">
        <v>198</v>
      </c>
      <c r="L66" s="440">
        <f>E66+J66</f>
        <v>2800</v>
      </c>
    </row>
    <row r="67" spans="1:14" ht="15.75" x14ac:dyDescent="0.25">
      <c r="A67" s="1016"/>
      <c r="B67" s="408"/>
      <c r="C67" s="430"/>
      <c r="D67" s="423" t="s">
        <v>349</v>
      </c>
      <c r="E67" s="218">
        <f>E29+D62</f>
        <v>0</v>
      </c>
      <c r="F67" s="163"/>
      <c r="G67" s="408"/>
      <c r="H67" s="213" t="s">
        <v>198</v>
      </c>
      <c r="I67" s="408"/>
      <c r="J67" s="217">
        <f>J29+I62</f>
        <v>0</v>
      </c>
      <c r="K67" s="155"/>
      <c r="L67" s="1014">
        <f>IF(ISERROR(L66/'Membership Record'!F6),0,L66/'Membership Record'!F6)</f>
        <v>0</v>
      </c>
    </row>
    <row r="68" spans="1:14" ht="16.5" thickBot="1" x14ac:dyDescent="0.3">
      <c r="A68" s="939"/>
      <c r="B68" s="418"/>
      <c r="C68" s="431"/>
      <c r="D68" s="419" t="s">
        <v>350</v>
      </c>
      <c r="E68" s="432">
        <f>E30+D63</f>
        <v>0</v>
      </c>
      <c r="F68" s="168"/>
      <c r="G68" s="418"/>
      <c r="H68" s="437" t="s">
        <v>198</v>
      </c>
      <c r="I68" s="418"/>
      <c r="J68" s="438">
        <f>J30+I63</f>
        <v>0</v>
      </c>
      <c r="K68" s="424"/>
      <c r="L68" s="1015"/>
    </row>
    <row r="69" spans="1:14" x14ac:dyDescent="0.2">
      <c r="A69" s="30"/>
      <c r="B69" s="166"/>
      <c r="C69" s="426"/>
      <c r="D69" s="409"/>
      <c r="E69" s="119"/>
      <c r="F69" s="41"/>
      <c r="G69" s="409"/>
      <c r="H69" s="426"/>
      <c r="I69" s="409"/>
      <c r="J69" s="119"/>
      <c r="L69" s="119"/>
    </row>
    <row r="70" spans="1:14" ht="13.5" thickBot="1" x14ac:dyDescent="0.25">
      <c r="C70" s="119"/>
      <c r="E70" s="119"/>
      <c r="H70" s="119"/>
      <c r="J70" s="119"/>
      <c r="K70" s="14"/>
      <c r="L70" s="119"/>
    </row>
    <row r="71" spans="1:14" ht="15" customHeight="1" x14ac:dyDescent="0.2">
      <c r="A71" s="938" t="s">
        <v>319</v>
      </c>
      <c r="B71" s="169"/>
      <c r="C71" s="170" t="s">
        <v>640</v>
      </c>
      <c r="D71" s="171" t="s">
        <v>641</v>
      </c>
      <c r="E71" s="172" t="s">
        <v>201</v>
      </c>
      <c r="F71" s="173"/>
      <c r="G71" s="169"/>
      <c r="H71" s="170" t="s">
        <v>640</v>
      </c>
      <c r="I71" s="171" t="s">
        <v>641</v>
      </c>
      <c r="J71" s="172" t="s">
        <v>201</v>
      </c>
      <c r="K71" s="169"/>
      <c r="L71" s="229" t="s">
        <v>640</v>
      </c>
      <c r="M71" s="227" t="s">
        <v>641</v>
      </c>
      <c r="N71" s="228" t="s">
        <v>201</v>
      </c>
    </row>
    <row r="72" spans="1:14" ht="13.5" thickBot="1" x14ac:dyDescent="0.25">
      <c r="A72" s="939"/>
      <c r="B72" s="167"/>
      <c r="C72" s="819">
        <f>L67/2</f>
        <v>0</v>
      </c>
      <c r="D72" s="817">
        <f>IF(C72=0,0,C72+35)</f>
        <v>0</v>
      </c>
      <c r="E72" s="434">
        <f>IF(C72=0,0,C72+75)</f>
        <v>0</v>
      </c>
      <c r="F72" s="175"/>
      <c r="G72" s="167"/>
      <c r="H72" s="819">
        <f>L67/2</f>
        <v>0</v>
      </c>
      <c r="I72" s="817">
        <f>IF(H72=0,0,H72+35)</f>
        <v>0</v>
      </c>
      <c r="J72" s="434">
        <f>IF(H72=0,0,H72+75)</f>
        <v>0</v>
      </c>
      <c r="K72" s="167"/>
      <c r="L72" s="818">
        <f>C72+H72</f>
        <v>0</v>
      </c>
      <c r="M72" s="817">
        <f>D72+I72</f>
        <v>0</v>
      </c>
      <c r="N72" s="439">
        <f>E72+J72</f>
        <v>0</v>
      </c>
    </row>
    <row r="73" spans="1:14" x14ac:dyDescent="0.2">
      <c r="C73" s="119"/>
      <c r="E73" s="119"/>
      <c r="H73" s="119"/>
      <c r="J73" s="119"/>
    </row>
    <row r="74" spans="1:14" ht="13.5" thickBot="1" x14ac:dyDescent="0.25">
      <c r="C74" s="119"/>
      <c r="E74" s="119"/>
      <c r="H74" s="119"/>
      <c r="J74" s="119"/>
    </row>
    <row r="75" spans="1:14" ht="15" customHeight="1" x14ac:dyDescent="0.2">
      <c r="A75" s="938" t="s">
        <v>320</v>
      </c>
      <c r="B75" s="169"/>
      <c r="C75" s="170" t="s">
        <v>202</v>
      </c>
      <c r="D75" s="171" t="s">
        <v>203</v>
      </c>
      <c r="E75" s="172" t="s">
        <v>201</v>
      </c>
      <c r="F75" s="173"/>
      <c r="G75" s="169"/>
      <c r="H75" s="170" t="s">
        <v>202</v>
      </c>
      <c r="I75" s="171" t="s">
        <v>203</v>
      </c>
      <c r="J75" s="174" t="s">
        <v>201</v>
      </c>
    </row>
    <row r="76" spans="1:14" ht="13.5" thickBot="1" x14ac:dyDescent="0.25">
      <c r="A76" s="939"/>
      <c r="B76" s="167"/>
      <c r="C76" s="432">
        <f>IF(ISERROR(D76-25),0,D76-25)</f>
        <v>125</v>
      </c>
      <c r="D76" s="176">
        <f>IF(B3=1,150,IF(B3=2,175,IF(B3=3,200,IF(B3=4,225,IF(B3=5,250,"")))))</f>
        <v>150</v>
      </c>
      <c r="E76" s="434">
        <f>IF(ISERROR(D76+25),0,D76+25)</f>
        <v>175</v>
      </c>
      <c r="F76" s="168"/>
      <c r="G76" s="167"/>
      <c r="H76" s="432">
        <f>IF(ISERROR(I76-25),0,I76-25)</f>
        <v>125</v>
      </c>
      <c r="I76" s="176">
        <f>IF(G3=1,150,IF(G3=2,175,IF(G3=3,200,IF(G3=4,225,IF(G3=5,250,"")))))</f>
        <v>150</v>
      </c>
      <c r="J76" s="439">
        <f>IF(ISERROR(I76+25),0,I76+25)</f>
        <v>175</v>
      </c>
    </row>
  </sheetData>
  <sheetProtection algorithmName="SHA-512" hashValue="P5WWGZkr7j1kARg147lXYjdcPEzEsISBgHbENcLsmPU61VkqBCPrpwoub+o2XgWoh5+b7KbTMPxO/lpgIqzjRg==" saltValue="BQ+aa5DoCUgH0YrUswZyGA==" spinCount="100000" sheet="1" objects="1" scenarios="1" formatColumns="0" selectLockedCells="1"/>
  <mergeCells count="85">
    <mergeCell ref="C60:C61"/>
    <mergeCell ref="B60:B61"/>
    <mergeCell ref="A60:A61"/>
    <mergeCell ref="L67:L68"/>
    <mergeCell ref="A66:A68"/>
    <mergeCell ref="G60:G61"/>
    <mergeCell ref="H60:H61"/>
    <mergeCell ref="I60:I61"/>
    <mergeCell ref="J27:J28"/>
    <mergeCell ref="G27:G28"/>
    <mergeCell ref="H27:H28"/>
    <mergeCell ref="I27:I28"/>
    <mergeCell ref="J24:J26"/>
    <mergeCell ref="G24:G26"/>
    <mergeCell ref="H24:H26"/>
    <mergeCell ref="I24:I26"/>
    <mergeCell ref="B1:E1"/>
    <mergeCell ref="G1:J1"/>
    <mergeCell ref="A32:A34"/>
    <mergeCell ref="A3:A4"/>
    <mergeCell ref="B3:B4"/>
    <mergeCell ref="C3:C4"/>
    <mergeCell ref="D3:D4"/>
    <mergeCell ref="E3:E4"/>
    <mergeCell ref="G3:G4"/>
    <mergeCell ref="H3:H4"/>
    <mergeCell ref="I3:I4"/>
    <mergeCell ref="J3:J4"/>
    <mergeCell ref="C6:C7"/>
    <mergeCell ref="D6:D7"/>
    <mergeCell ref="A24:A26"/>
    <mergeCell ref="E24:E26"/>
    <mergeCell ref="B6:B7"/>
    <mergeCell ref="G6:G7"/>
    <mergeCell ref="B9:B10"/>
    <mergeCell ref="G9:G10"/>
    <mergeCell ref="A5:A7"/>
    <mergeCell ref="E6:E7"/>
    <mergeCell ref="H6:H7"/>
    <mergeCell ref="I6:I7"/>
    <mergeCell ref="J6:J7"/>
    <mergeCell ref="C9:C10"/>
    <mergeCell ref="D9:D10"/>
    <mergeCell ref="E9:E10"/>
    <mergeCell ref="H9:H10"/>
    <mergeCell ref="I9:I10"/>
    <mergeCell ref="J9:J10"/>
    <mergeCell ref="J11:J12"/>
    <mergeCell ref="B14:B15"/>
    <mergeCell ref="C14:C15"/>
    <mergeCell ref="D14:D15"/>
    <mergeCell ref="E14:E15"/>
    <mergeCell ref="H14:H15"/>
    <mergeCell ref="I14:I15"/>
    <mergeCell ref="J14:J15"/>
    <mergeCell ref="B11:B12"/>
    <mergeCell ref="C11:C12"/>
    <mergeCell ref="D11:D12"/>
    <mergeCell ref="G11:G12"/>
    <mergeCell ref="H11:H12"/>
    <mergeCell ref="I11:I12"/>
    <mergeCell ref="J22:J23"/>
    <mergeCell ref="B22:B23"/>
    <mergeCell ref="C22:C23"/>
    <mergeCell ref="D22:D23"/>
    <mergeCell ref="E22:E23"/>
    <mergeCell ref="G22:G23"/>
    <mergeCell ref="H22:H23"/>
    <mergeCell ref="I22:I23"/>
    <mergeCell ref="A71:A72"/>
    <mergeCell ref="A75:A76"/>
    <mergeCell ref="A11:A12"/>
    <mergeCell ref="E11:E12"/>
    <mergeCell ref="A8:A10"/>
    <mergeCell ref="A13:A15"/>
    <mergeCell ref="A21:A23"/>
    <mergeCell ref="E27:E28"/>
    <mergeCell ref="B24:B26"/>
    <mergeCell ref="C24:C26"/>
    <mergeCell ref="D24:D26"/>
    <mergeCell ref="D27:D28"/>
    <mergeCell ref="C27:C28"/>
    <mergeCell ref="B27:B28"/>
    <mergeCell ref="A27:A28"/>
    <mergeCell ref="D60:D61"/>
  </mergeCells>
  <dataValidations count="3">
    <dataValidation type="list" showInputMessage="1" showErrorMessage="1" error="You must select a tier level from the drop down list" prompt="Selected your chapter's approprate Risk Management tier level" sqref="B3" xr:uid="{00000000-0002-0000-0300-000000000000}">
      <formula1>$AA$2:$AA$6</formula1>
    </dataValidation>
    <dataValidation type="list" allowBlank="1" showInputMessage="1" showErrorMessage="1" prompt="If 90% of your chapter members completed GreekLifeEdu last year, select the &quot;x&quot; from the drop down list" sqref="B14:B15" xr:uid="{00000000-0002-0000-0300-000001000000}">
      <formula1>$AB$2:$AB$3</formula1>
    </dataValidation>
    <dataValidation type="list" allowBlank="1" showInputMessage="1" showErrorMessage="1" prompt="Select a percentage increase from last year's cost." sqref="C17:C20 H17:H19" xr:uid="{00000000-0002-0000-0300-000002000000}">
      <formula1>$AC$2:$AC$12</formula1>
    </dataValidation>
  </dataValidations>
  <pageMargins left="0.7" right="0.7" top="0.75" bottom="0.75" header="0.3" footer="0.3"/>
  <pageSetup paperSize="9" scale="85" fitToWidth="0" fitToHeight="0" orientation="landscape" r:id="rId1"/>
  <rowBreaks count="2" manualBreakCount="2">
    <brk id="30" max="11" man="1"/>
    <brk id="64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85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12.75" x14ac:dyDescent="0.2"/>
  <cols>
    <col min="1" max="1" width="35.7109375" style="1" customWidth="1"/>
    <col min="2" max="2" width="13" style="1" customWidth="1"/>
    <col min="3" max="3" width="12.5703125" style="1" customWidth="1"/>
    <col min="4" max="4" width="13.5703125" style="1" customWidth="1"/>
    <col min="5" max="5" width="15" style="1" customWidth="1"/>
    <col min="6" max="6" width="16.5703125" style="1" customWidth="1"/>
    <col min="7" max="8" width="16.28515625" style="1" customWidth="1"/>
    <col min="9" max="9" width="12.28515625" style="1" customWidth="1"/>
    <col min="10" max="10" width="11.28515625" style="1" customWidth="1"/>
    <col min="11" max="11" width="10.85546875" style="1" bestFit="1" customWidth="1"/>
    <col min="12" max="12" width="11.28515625" style="1" customWidth="1"/>
    <col min="13" max="25" width="9.140625" style="1"/>
    <col min="26" max="26" width="9.140625" style="1" hidden="1" customWidth="1"/>
    <col min="27" max="27" width="8.85546875" style="1" hidden="1" customWidth="1"/>
    <col min="28" max="28" width="4.28515625" style="1" hidden="1" customWidth="1"/>
    <col min="29" max="16384" width="9.140625" style="1"/>
  </cols>
  <sheetData>
    <row r="1" spans="1:28" x14ac:dyDescent="0.2">
      <c r="A1" s="709" t="s">
        <v>488</v>
      </c>
    </row>
    <row r="2" spans="1:28" x14ac:dyDescent="0.2">
      <c r="A2" s="710"/>
    </row>
    <row r="3" spans="1:28" ht="15" customHeight="1" x14ac:dyDescent="0.2">
      <c r="A3" s="442" t="s">
        <v>306</v>
      </c>
      <c r="B3" s="8"/>
      <c r="C3" s="1038" t="s">
        <v>268</v>
      </c>
      <c r="D3" s="1038" t="s">
        <v>269</v>
      </c>
      <c r="E3" s="1038" t="s">
        <v>276</v>
      </c>
      <c r="F3" s="1038" t="s">
        <v>272</v>
      </c>
      <c r="G3" s="1038" t="s">
        <v>278</v>
      </c>
      <c r="H3" s="1038" t="s">
        <v>279</v>
      </c>
      <c r="I3" s="1048" t="s">
        <v>283</v>
      </c>
      <c r="J3" s="1049"/>
      <c r="K3" s="1049"/>
      <c r="L3" s="107"/>
    </row>
    <row r="4" spans="1:28" x14ac:dyDescent="0.2">
      <c r="A4" s="710" t="s">
        <v>308</v>
      </c>
      <c r="B4" s="8"/>
      <c r="C4" s="1038"/>
      <c r="D4" s="1038"/>
      <c r="E4" s="1038"/>
      <c r="F4" s="1038"/>
      <c r="G4" s="1038"/>
      <c r="H4" s="1038"/>
      <c r="I4" s="103"/>
      <c r="J4" s="711" t="s">
        <v>285</v>
      </c>
      <c r="K4" s="444" t="s">
        <v>284</v>
      </c>
      <c r="L4" s="445"/>
    </row>
    <row r="5" spans="1:28" ht="15.75" x14ac:dyDescent="0.25">
      <c r="A5" s="6" t="s">
        <v>274</v>
      </c>
      <c r="B5" s="8"/>
      <c r="C5" s="8"/>
      <c r="D5" s="8"/>
      <c r="E5" s="8"/>
      <c r="F5" s="119"/>
      <c r="G5" s="8"/>
      <c r="H5" s="119"/>
      <c r="I5" s="1056" t="s">
        <v>282</v>
      </c>
      <c r="J5" s="1045" t="s">
        <v>455</v>
      </c>
      <c r="K5" s="1045"/>
      <c r="L5" s="8"/>
      <c r="Z5" s="1" t="s">
        <v>187</v>
      </c>
      <c r="AA5" s="1" t="s">
        <v>307</v>
      </c>
      <c r="AB5" s="2">
        <v>0</v>
      </c>
    </row>
    <row r="6" spans="1:28" x14ac:dyDescent="0.2">
      <c r="A6" s="8"/>
      <c r="B6" s="8"/>
      <c r="C6" s="8"/>
      <c r="D6" s="8"/>
      <c r="E6" s="8"/>
      <c r="F6" s="119"/>
      <c r="G6" s="8"/>
      <c r="H6" s="119"/>
      <c r="I6" s="1057"/>
      <c r="J6" s="1045"/>
      <c r="K6" s="1045"/>
      <c r="L6" s="8"/>
      <c r="Z6" s="1" t="s">
        <v>199</v>
      </c>
      <c r="AA6" s="1" t="s">
        <v>308</v>
      </c>
      <c r="AB6" s="2">
        <v>0.01</v>
      </c>
    </row>
    <row r="7" spans="1:28" x14ac:dyDescent="0.2">
      <c r="A7" s="8"/>
      <c r="B7" s="8"/>
      <c r="C7" s="8"/>
      <c r="D7" s="8"/>
      <c r="E7" s="8"/>
      <c r="F7" s="119"/>
      <c r="G7" s="8"/>
      <c r="H7" s="119"/>
      <c r="I7" s="11"/>
      <c r="J7" s="1046">
        <f>'Membership Record'!H6</f>
        <v>0</v>
      </c>
      <c r="K7" s="1046"/>
      <c r="L7" s="8"/>
      <c r="AB7" s="2">
        <v>0.02</v>
      </c>
    </row>
    <row r="8" spans="1:28" ht="25.5" x14ac:dyDescent="0.2">
      <c r="A8" s="8" t="s">
        <v>289</v>
      </c>
      <c r="B8" s="8"/>
      <c r="C8" s="42"/>
      <c r="D8" s="832">
        <v>0</v>
      </c>
      <c r="E8" s="753">
        <f>C8*D8</f>
        <v>0</v>
      </c>
      <c r="F8" s="754">
        <f>C8+E8</f>
        <v>0</v>
      </c>
      <c r="G8" s="753">
        <f>F8/12</f>
        <v>0</v>
      </c>
      <c r="H8" s="755">
        <f>F8/9</f>
        <v>0</v>
      </c>
      <c r="I8" s="837" t="s">
        <v>661</v>
      </c>
      <c r="J8" s="836"/>
      <c r="K8" s="156"/>
      <c r="L8" s="8"/>
      <c r="AB8" s="2">
        <v>0.03</v>
      </c>
    </row>
    <row r="9" spans="1:28" x14ac:dyDescent="0.2">
      <c r="A9" s="8" t="s">
        <v>237</v>
      </c>
      <c r="B9" s="8"/>
      <c r="C9" s="46"/>
      <c r="D9" s="833">
        <v>0</v>
      </c>
      <c r="E9" s="756">
        <f t="shared" ref="E9:E10" si="0">C9*D9</f>
        <v>0</v>
      </c>
      <c r="F9" s="757">
        <f t="shared" ref="F9:F10" si="1">C9+E9</f>
        <v>0</v>
      </c>
      <c r="G9" s="756">
        <f t="shared" ref="G9:G10" si="2">F9/12</f>
        <v>0</v>
      </c>
      <c r="H9" s="758">
        <f t="shared" ref="H9:H10" si="3">F9/9</f>
        <v>0</v>
      </c>
      <c r="I9" s="832">
        <v>0</v>
      </c>
      <c r="J9" s="765">
        <f>G9*I9</f>
        <v>0</v>
      </c>
      <c r="K9" s="753">
        <f>H9*I9</f>
        <v>0</v>
      </c>
      <c r="L9" s="8"/>
      <c r="AB9" s="2">
        <v>0.04</v>
      </c>
    </row>
    <row r="10" spans="1:28" x14ac:dyDescent="0.2">
      <c r="A10" s="8" t="s">
        <v>238</v>
      </c>
      <c r="B10" s="8"/>
      <c r="C10" s="46"/>
      <c r="D10" s="833">
        <v>0</v>
      </c>
      <c r="E10" s="756">
        <f t="shared" si="0"/>
        <v>0</v>
      </c>
      <c r="F10" s="757">
        <f t="shared" si="1"/>
        <v>0</v>
      </c>
      <c r="G10" s="756">
        <f t="shared" si="2"/>
        <v>0</v>
      </c>
      <c r="H10" s="758">
        <f t="shared" si="3"/>
        <v>0</v>
      </c>
      <c r="I10" s="833">
        <v>0</v>
      </c>
      <c r="J10" s="765">
        <f>G10*I10</f>
        <v>0</v>
      </c>
      <c r="K10" s="753">
        <f>H10*I10</f>
        <v>0</v>
      </c>
      <c r="L10" s="8"/>
      <c r="AB10" s="2">
        <v>0.05</v>
      </c>
    </row>
    <row r="11" spans="1:28" x14ac:dyDescent="0.2">
      <c r="A11" s="8" t="s">
        <v>239</v>
      </c>
      <c r="B11" s="8"/>
      <c r="C11" s="759"/>
      <c r="D11" s="834"/>
      <c r="E11" s="759"/>
      <c r="F11" s="760"/>
      <c r="G11" s="759"/>
      <c r="H11" s="761"/>
      <c r="I11" s="831"/>
      <c r="J11" s="767"/>
      <c r="K11" s="759"/>
      <c r="L11" s="8"/>
      <c r="AB11" s="2">
        <v>0.06</v>
      </c>
    </row>
    <row r="12" spans="1:28" x14ac:dyDescent="0.2">
      <c r="A12" s="8" t="s">
        <v>240</v>
      </c>
      <c r="B12" s="8"/>
      <c r="C12" s="46"/>
      <c r="D12" s="833">
        <v>0</v>
      </c>
      <c r="E12" s="756">
        <f t="shared" ref="E12:E18" si="4">C12*D12</f>
        <v>0</v>
      </c>
      <c r="F12" s="757">
        <f t="shared" ref="F12:F18" si="5">C12+E12</f>
        <v>0</v>
      </c>
      <c r="G12" s="756">
        <f t="shared" ref="G12:G18" si="6">F12/12</f>
        <v>0</v>
      </c>
      <c r="H12" s="758">
        <f t="shared" ref="H12:H18" si="7">F12/9</f>
        <v>0</v>
      </c>
      <c r="I12" s="832">
        <v>0</v>
      </c>
      <c r="J12" s="765">
        <f t="shared" ref="J12:J18" si="8">G12*I12</f>
        <v>0</v>
      </c>
      <c r="K12" s="753">
        <f t="shared" ref="K12:K18" si="9">H12*I12</f>
        <v>0</v>
      </c>
      <c r="L12" s="8"/>
      <c r="AB12" s="2">
        <v>7.0000000000000007E-2</v>
      </c>
    </row>
    <row r="13" spans="1:28" x14ac:dyDescent="0.2">
      <c r="A13" s="8" t="s">
        <v>241</v>
      </c>
      <c r="B13" s="8"/>
      <c r="C13" s="46"/>
      <c r="D13" s="833">
        <v>0</v>
      </c>
      <c r="E13" s="756">
        <f t="shared" si="4"/>
        <v>0</v>
      </c>
      <c r="F13" s="757">
        <f t="shared" si="5"/>
        <v>0</v>
      </c>
      <c r="G13" s="756">
        <f t="shared" si="6"/>
        <v>0</v>
      </c>
      <c r="H13" s="758">
        <f t="shared" si="7"/>
        <v>0</v>
      </c>
      <c r="I13" s="833">
        <v>0</v>
      </c>
      <c r="J13" s="765">
        <f t="shared" si="8"/>
        <v>0</v>
      </c>
      <c r="K13" s="753">
        <f t="shared" si="9"/>
        <v>0</v>
      </c>
      <c r="L13" s="8"/>
      <c r="AB13" s="2">
        <v>0.08</v>
      </c>
    </row>
    <row r="14" spans="1:28" x14ac:dyDescent="0.2">
      <c r="A14" s="8" t="s">
        <v>242</v>
      </c>
      <c r="B14" s="8"/>
      <c r="C14" s="46"/>
      <c r="D14" s="833">
        <v>0</v>
      </c>
      <c r="E14" s="756">
        <f t="shared" si="4"/>
        <v>0</v>
      </c>
      <c r="F14" s="757">
        <f t="shared" si="5"/>
        <v>0</v>
      </c>
      <c r="G14" s="756">
        <f t="shared" si="6"/>
        <v>0</v>
      </c>
      <c r="H14" s="758">
        <f t="shared" si="7"/>
        <v>0</v>
      </c>
      <c r="I14" s="833">
        <v>0</v>
      </c>
      <c r="J14" s="765">
        <f t="shared" si="8"/>
        <v>0</v>
      </c>
      <c r="K14" s="753">
        <f t="shared" si="9"/>
        <v>0</v>
      </c>
      <c r="L14" s="8"/>
      <c r="AB14" s="2">
        <v>0.09</v>
      </c>
    </row>
    <row r="15" spans="1:28" x14ac:dyDescent="0.2">
      <c r="A15" s="8" t="s">
        <v>244</v>
      </c>
      <c r="B15" s="8"/>
      <c r="C15" s="46"/>
      <c r="D15" s="833">
        <v>0</v>
      </c>
      <c r="E15" s="756">
        <f t="shared" si="4"/>
        <v>0</v>
      </c>
      <c r="F15" s="757">
        <f t="shared" si="5"/>
        <v>0</v>
      </c>
      <c r="G15" s="756">
        <f t="shared" si="6"/>
        <v>0</v>
      </c>
      <c r="H15" s="758">
        <f t="shared" si="7"/>
        <v>0</v>
      </c>
      <c r="I15" s="833">
        <v>0</v>
      </c>
      <c r="J15" s="765">
        <f t="shared" si="8"/>
        <v>0</v>
      </c>
      <c r="K15" s="753">
        <f t="shared" si="9"/>
        <v>0</v>
      </c>
      <c r="L15" s="8"/>
      <c r="AB15" s="2">
        <v>0.1</v>
      </c>
    </row>
    <row r="16" spans="1:28" x14ac:dyDescent="0.2">
      <c r="A16" s="8" t="s">
        <v>245</v>
      </c>
      <c r="B16" s="8"/>
      <c r="C16" s="46"/>
      <c r="D16" s="833">
        <v>0</v>
      </c>
      <c r="E16" s="756">
        <f t="shared" si="4"/>
        <v>0</v>
      </c>
      <c r="F16" s="757">
        <f t="shared" si="5"/>
        <v>0</v>
      </c>
      <c r="G16" s="756">
        <f t="shared" si="6"/>
        <v>0</v>
      </c>
      <c r="H16" s="758">
        <f t="shared" si="7"/>
        <v>0</v>
      </c>
      <c r="I16" s="833">
        <v>0</v>
      </c>
      <c r="J16" s="765">
        <f t="shared" si="8"/>
        <v>0</v>
      </c>
      <c r="K16" s="753">
        <f t="shared" si="9"/>
        <v>0</v>
      </c>
      <c r="L16" s="8"/>
    </row>
    <row r="17" spans="1:12" x14ac:dyDescent="0.2">
      <c r="A17" s="8" t="s">
        <v>243</v>
      </c>
      <c r="B17" s="8"/>
      <c r="C17" s="46"/>
      <c r="D17" s="833">
        <v>0</v>
      </c>
      <c r="E17" s="756">
        <f t="shared" si="4"/>
        <v>0</v>
      </c>
      <c r="F17" s="757">
        <f t="shared" si="5"/>
        <v>0</v>
      </c>
      <c r="G17" s="756">
        <f t="shared" si="6"/>
        <v>0</v>
      </c>
      <c r="H17" s="758">
        <f t="shared" si="7"/>
        <v>0</v>
      </c>
      <c r="I17" s="833">
        <v>0</v>
      </c>
      <c r="J17" s="765">
        <f t="shared" si="8"/>
        <v>0</v>
      </c>
      <c r="K17" s="753">
        <f t="shared" si="9"/>
        <v>0</v>
      </c>
      <c r="L17" s="8"/>
    </row>
    <row r="18" spans="1:12" x14ac:dyDescent="0.2">
      <c r="A18" s="8" t="s">
        <v>250</v>
      </c>
      <c r="B18" s="8"/>
      <c r="C18" s="46"/>
      <c r="D18" s="833">
        <v>0</v>
      </c>
      <c r="E18" s="756">
        <f t="shared" si="4"/>
        <v>0</v>
      </c>
      <c r="F18" s="757">
        <f t="shared" si="5"/>
        <v>0</v>
      </c>
      <c r="G18" s="756">
        <f t="shared" si="6"/>
        <v>0</v>
      </c>
      <c r="H18" s="758">
        <f t="shared" si="7"/>
        <v>0</v>
      </c>
      <c r="I18" s="833">
        <v>0</v>
      </c>
      <c r="J18" s="765">
        <f t="shared" si="8"/>
        <v>0</v>
      </c>
      <c r="K18" s="753">
        <f t="shared" si="9"/>
        <v>0</v>
      </c>
      <c r="L18" s="8"/>
    </row>
    <row r="19" spans="1:12" x14ac:dyDescent="0.2">
      <c r="A19" s="8" t="s">
        <v>246</v>
      </c>
      <c r="B19" s="8"/>
      <c r="C19" s="759"/>
      <c r="D19" s="834"/>
      <c r="E19" s="759"/>
      <c r="F19" s="760"/>
      <c r="G19" s="759"/>
      <c r="H19" s="761"/>
      <c r="I19" s="831"/>
      <c r="J19" s="767"/>
      <c r="K19" s="759"/>
      <c r="L19" s="8"/>
    </row>
    <row r="20" spans="1:12" x14ac:dyDescent="0.2">
      <c r="A20" s="8" t="s">
        <v>247</v>
      </c>
      <c r="B20" s="8"/>
      <c r="C20" s="46"/>
      <c r="D20" s="833">
        <v>0</v>
      </c>
      <c r="E20" s="756">
        <f t="shared" ref="E20:E37" si="10">C20*D20</f>
        <v>0</v>
      </c>
      <c r="F20" s="757">
        <f t="shared" ref="F20:F37" si="11">C20+E20</f>
        <v>0</v>
      </c>
      <c r="G20" s="756">
        <f t="shared" ref="G20:G37" si="12">F20/12</f>
        <v>0</v>
      </c>
      <c r="H20" s="758">
        <f t="shared" ref="H20:H37" si="13">F20/9</f>
        <v>0</v>
      </c>
      <c r="I20" s="832">
        <v>0</v>
      </c>
      <c r="J20" s="765">
        <f t="shared" ref="J20:J37" si="14">G20*I20</f>
        <v>0</v>
      </c>
      <c r="K20" s="753">
        <f t="shared" ref="K20:K37" si="15">H20*I20</f>
        <v>0</v>
      </c>
      <c r="L20" s="8"/>
    </row>
    <row r="21" spans="1:12" x14ac:dyDescent="0.2">
      <c r="A21" s="8" t="s">
        <v>248</v>
      </c>
      <c r="B21" s="8"/>
      <c r="C21" s="46"/>
      <c r="D21" s="833">
        <v>0</v>
      </c>
      <c r="E21" s="756">
        <f t="shared" si="10"/>
        <v>0</v>
      </c>
      <c r="F21" s="757">
        <f t="shared" si="11"/>
        <v>0</v>
      </c>
      <c r="G21" s="756">
        <f t="shared" si="12"/>
        <v>0</v>
      </c>
      <c r="H21" s="758">
        <f t="shared" si="13"/>
        <v>0</v>
      </c>
      <c r="I21" s="833">
        <v>0</v>
      </c>
      <c r="J21" s="765">
        <f t="shared" si="14"/>
        <v>0</v>
      </c>
      <c r="K21" s="753">
        <f t="shared" si="15"/>
        <v>0</v>
      </c>
      <c r="L21" s="8"/>
    </row>
    <row r="22" spans="1:12" x14ac:dyDescent="0.2">
      <c r="A22" s="8" t="s">
        <v>249</v>
      </c>
      <c r="B22" s="8"/>
      <c r="C22" s="46"/>
      <c r="D22" s="833">
        <v>0</v>
      </c>
      <c r="E22" s="756">
        <f t="shared" si="10"/>
        <v>0</v>
      </c>
      <c r="F22" s="757">
        <f t="shared" si="11"/>
        <v>0</v>
      </c>
      <c r="G22" s="756">
        <f t="shared" si="12"/>
        <v>0</v>
      </c>
      <c r="H22" s="758">
        <f t="shared" si="13"/>
        <v>0</v>
      </c>
      <c r="I22" s="833">
        <v>0</v>
      </c>
      <c r="J22" s="765">
        <f t="shared" si="14"/>
        <v>0</v>
      </c>
      <c r="K22" s="753">
        <f t="shared" si="15"/>
        <v>0</v>
      </c>
      <c r="L22" s="8"/>
    </row>
    <row r="23" spans="1:12" x14ac:dyDescent="0.2">
      <c r="A23" s="8" t="s">
        <v>250</v>
      </c>
      <c r="B23" s="8"/>
      <c r="C23" s="46"/>
      <c r="D23" s="833">
        <v>0</v>
      </c>
      <c r="E23" s="756">
        <f t="shared" si="10"/>
        <v>0</v>
      </c>
      <c r="F23" s="757">
        <f t="shared" si="11"/>
        <v>0</v>
      </c>
      <c r="G23" s="756">
        <f t="shared" si="12"/>
        <v>0</v>
      </c>
      <c r="H23" s="758">
        <f t="shared" si="13"/>
        <v>0</v>
      </c>
      <c r="I23" s="833">
        <v>0</v>
      </c>
      <c r="J23" s="765">
        <f t="shared" si="14"/>
        <v>0</v>
      </c>
      <c r="K23" s="753">
        <f t="shared" si="15"/>
        <v>0</v>
      </c>
      <c r="L23" s="8"/>
    </row>
    <row r="24" spans="1:12" x14ac:dyDescent="0.2">
      <c r="A24" s="8" t="s">
        <v>251</v>
      </c>
      <c r="B24" s="8"/>
      <c r="C24" s="46"/>
      <c r="D24" s="833">
        <v>0</v>
      </c>
      <c r="E24" s="756">
        <f t="shared" si="10"/>
        <v>0</v>
      </c>
      <c r="F24" s="757">
        <f t="shared" si="11"/>
        <v>0</v>
      </c>
      <c r="G24" s="756">
        <f t="shared" si="12"/>
        <v>0</v>
      </c>
      <c r="H24" s="758">
        <f t="shared" si="13"/>
        <v>0</v>
      </c>
      <c r="I24" s="833">
        <v>0</v>
      </c>
      <c r="J24" s="765">
        <f t="shared" si="14"/>
        <v>0</v>
      </c>
      <c r="K24" s="753">
        <f t="shared" si="15"/>
        <v>0</v>
      </c>
      <c r="L24" s="8"/>
    </row>
    <row r="25" spans="1:12" x14ac:dyDescent="0.2">
      <c r="A25" s="8" t="s">
        <v>252</v>
      </c>
      <c r="B25" s="8"/>
      <c r="C25" s="46"/>
      <c r="D25" s="833">
        <v>0</v>
      </c>
      <c r="E25" s="756">
        <f t="shared" si="10"/>
        <v>0</v>
      </c>
      <c r="F25" s="757">
        <f t="shared" si="11"/>
        <v>0</v>
      </c>
      <c r="G25" s="756">
        <f t="shared" si="12"/>
        <v>0</v>
      </c>
      <c r="H25" s="758">
        <f t="shared" si="13"/>
        <v>0</v>
      </c>
      <c r="I25" s="833">
        <v>0</v>
      </c>
      <c r="J25" s="765">
        <f t="shared" si="14"/>
        <v>0</v>
      </c>
      <c r="K25" s="753">
        <f t="shared" si="15"/>
        <v>0</v>
      </c>
      <c r="L25" s="8"/>
    </row>
    <row r="26" spans="1:12" x14ac:dyDescent="0.2">
      <c r="A26" s="8" t="s">
        <v>253</v>
      </c>
      <c r="B26" s="8"/>
      <c r="C26" s="46"/>
      <c r="D26" s="833">
        <v>0</v>
      </c>
      <c r="E26" s="756">
        <f t="shared" si="10"/>
        <v>0</v>
      </c>
      <c r="F26" s="757">
        <f t="shared" si="11"/>
        <v>0</v>
      </c>
      <c r="G26" s="756">
        <f t="shared" si="12"/>
        <v>0</v>
      </c>
      <c r="H26" s="758">
        <f t="shared" si="13"/>
        <v>0</v>
      </c>
      <c r="I26" s="833">
        <v>0</v>
      </c>
      <c r="J26" s="765">
        <f t="shared" si="14"/>
        <v>0</v>
      </c>
      <c r="K26" s="753">
        <f t="shared" si="15"/>
        <v>0</v>
      </c>
      <c r="L26" s="8"/>
    </row>
    <row r="27" spans="1:12" x14ac:dyDescent="0.2">
      <c r="A27" s="8" t="s">
        <v>277</v>
      </c>
      <c r="B27" s="8"/>
      <c r="C27" s="46"/>
      <c r="D27" s="833">
        <v>0</v>
      </c>
      <c r="E27" s="756">
        <f t="shared" si="10"/>
        <v>0</v>
      </c>
      <c r="F27" s="757">
        <f t="shared" si="11"/>
        <v>0</v>
      </c>
      <c r="G27" s="756">
        <f t="shared" si="12"/>
        <v>0</v>
      </c>
      <c r="H27" s="758">
        <f t="shared" si="13"/>
        <v>0</v>
      </c>
      <c r="I27" s="833">
        <v>0</v>
      </c>
      <c r="J27" s="765">
        <f t="shared" si="14"/>
        <v>0</v>
      </c>
      <c r="K27" s="753">
        <f t="shared" si="15"/>
        <v>0</v>
      </c>
      <c r="L27" s="8"/>
    </row>
    <row r="28" spans="1:12" x14ac:dyDescent="0.2">
      <c r="A28" s="8" t="s">
        <v>254</v>
      </c>
      <c r="B28" s="8"/>
      <c r="C28" s="46"/>
      <c r="D28" s="833">
        <v>0</v>
      </c>
      <c r="E28" s="756">
        <f t="shared" si="10"/>
        <v>0</v>
      </c>
      <c r="F28" s="757">
        <f t="shared" si="11"/>
        <v>0</v>
      </c>
      <c r="G28" s="756">
        <f t="shared" si="12"/>
        <v>0</v>
      </c>
      <c r="H28" s="758">
        <f t="shared" si="13"/>
        <v>0</v>
      </c>
      <c r="I28" s="833">
        <v>0</v>
      </c>
      <c r="J28" s="765">
        <f t="shared" si="14"/>
        <v>0</v>
      </c>
      <c r="K28" s="753">
        <f t="shared" si="15"/>
        <v>0</v>
      </c>
      <c r="L28" s="8"/>
    </row>
    <row r="29" spans="1:12" x14ac:dyDescent="0.2">
      <c r="A29" s="8" t="s">
        <v>255</v>
      </c>
      <c r="B29" s="8"/>
      <c r="C29" s="46"/>
      <c r="D29" s="833">
        <v>0</v>
      </c>
      <c r="E29" s="756">
        <f t="shared" si="10"/>
        <v>0</v>
      </c>
      <c r="F29" s="757">
        <f t="shared" si="11"/>
        <v>0</v>
      </c>
      <c r="G29" s="756">
        <f t="shared" si="12"/>
        <v>0</v>
      </c>
      <c r="H29" s="758">
        <f t="shared" si="13"/>
        <v>0</v>
      </c>
      <c r="I29" s="833">
        <v>0</v>
      </c>
      <c r="J29" s="765">
        <f t="shared" si="14"/>
        <v>0</v>
      </c>
      <c r="K29" s="753">
        <f t="shared" si="15"/>
        <v>0</v>
      </c>
      <c r="L29" s="8"/>
    </row>
    <row r="30" spans="1:12" x14ac:dyDescent="0.2">
      <c r="A30" s="8" t="s">
        <v>256</v>
      </c>
      <c r="B30" s="8"/>
      <c r="C30" s="46"/>
      <c r="D30" s="833">
        <v>0</v>
      </c>
      <c r="E30" s="756">
        <f t="shared" si="10"/>
        <v>0</v>
      </c>
      <c r="F30" s="757">
        <f t="shared" si="11"/>
        <v>0</v>
      </c>
      <c r="G30" s="756">
        <f t="shared" si="12"/>
        <v>0</v>
      </c>
      <c r="H30" s="758">
        <f t="shared" si="13"/>
        <v>0</v>
      </c>
      <c r="I30" s="833">
        <v>0</v>
      </c>
      <c r="J30" s="765">
        <f t="shared" si="14"/>
        <v>0</v>
      </c>
      <c r="K30" s="753">
        <f t="shared" si="15"/>
        <v>0</v>
      </c>
      <c r="L30" s="8"/>
    </row>
    <row r="31" spans="1:12" x14ac:dyDescent="0.2">
      <c r="A31" s="8" t="s">
        <v>257</v>
      </c>
      <c r="B31" s="8"/>
      <c r="C31" s="46"/>
      <c r="D31" s="833">
        <v>0</v>
      </c>
      <c r="E31" s="756">
        <f t="shared" si="10"/>
        <v>0</v>
      </c>
      <c r="F31" s="757">
        <f t="shared" si="11"/>
        <v>0</v>
      </c>
      <c r="G31" s="756">
        <f t="shared" si="12"/>
        <v>0</v>
      </c>
      <c r="H31" s="758">
        <f t="shared" si="13"/>
        <v>0</v>
      </c>
      <c r="I31" s="833">
        <v>0</v>
      </c>
      <c r="J31" s="765">
        <f t="shared" si="14"/>
        <v>0</v>
      </c>
      <c r="K31" s="753">
        <f t="shared" si="15"/>
        <v>0</v>
      </c>
      <c r="L31" s="8"/>
    </row>
    <row r="32" spans="1:12" x14ac:dyDescent="0.2">
      <c r="A32" s="8" t="s">
        <v>261</v>
      </c>
      <c r="B32" s="8"/>
      <c r="C32" s="46"/>
      <c r="D32" s="833">
        <v>0</v>
      </c>
      <c r="E32" s="756">
        <f t="shared" si="10"/>
        <v>0</v>
      </c>
      <c r="F32" s="757">
        <f t="shared" si="11"/>
        <v>0</v>
      </c>
      <c r="G32" s="756">
        <f t="shared" si="12"/>
        <v>0</v>
      </c>
      <c r="H32" s="758">
        <f t="shared" si="13"/>
        <v>0</v>
      </c>
      <c r="I32" s="833">
        <v>0</v>
      </c>
      <c r="J32" s="765">
        <f t="shared" si="14"/>
        <v>0</v>
      </c>
      <c r="K32" s="753">
        <f t="shared" si="15"/>
        <v>0</v>
      </c>
      <c r="L32" s="8"/>
    </row>
    <row r="33" spans="1:12" x14ac:dyDescent="0.2">
      <c r="A33" s="8" t="s">
        <v>262</v>
      </c>
      <c r="B33" s="8"/>
      <c r="C33" s="46"/>
      <c r="D33" s="833">
        <v>0</v>
      </c>
      <c r="E33" s="756">
        <f t="shared" si="10"/>
        <v>0</v>
      </c>
      <c r="F33" s="757">
        <f t="shared" si="11"/>
        <v>0</v>
      </c>
      <c r="G33" s="756">
        <f t="shared" si="12"/>
        <v>0</v>
      </c>
      <c r="H33" s="758">
        <f t="shared" si="13"/>
        <v>0</v>
      </c>
      <c r="I33" s="833">
        <v>0</v>
      </c>
      <c r="J33" s="765">
        <f t="shared" si="14"/>
        <v>0</v>
      </c>
      <c r="K33" s="753">
        <f t="shared" si="15"/>
        <v>0</v>
      </c>
      <c r="L33" s="8"/>
    </row>
    <row r="34" spans="1:12" x14ac:dyDescent="0.2">
      <c r="A34" s="8" t="s">
        <v>258</v>
      </c>
      <c r="B34" s="8"/>
      <c r="C34" s="46"/>
      <c r="D34" s="833">
        <v>0</v>
      </c>
      <c r="E34" s="756">
        <f t="shared" si="10"/>
        <v>0</v>
      </c>
      <c r="F34" s="757">
        <f t="shared" si="11"/>
        <v>0</v>
      </c>
      <c r="G34" s="756">
        <f t="shared" si="12"/>
        <v>0</v>
      </c>
      <c r="H34" s="758">
        <f t="shared" si="13"/>
        <v>0</v>
      </c>
      <c r="I34" s="833">
        <v>0</v>
      </c>
      <c r="J34" s="765">
        <f t="shared" si="14"/>
        <v>0</v>
      </c>
      <c r="K34" s="753">
        <f t="shared" si="15"/>
        <v>0</v>
      </c>
      <c r="L34" s="8"/>
    </row>
    <row r="35" spans="1:12" x14ac:dyDescent="0.2">
      <c r="A35" s="8" t="s">
        <v>259</v>
      </c>
      <c r="B35" s="8"/>
      <c r="C35" s="46"/>
      <c r="D35" s="833">
        <v>0</v>
      </c>
      <c r="E35" s="756">
        <f t="shared" si="10"/>
        <v>0</v>
      </c>
      <c r="F35" s="757">
        <f t="shared" si="11"/>
        <v>0</v>
      </c>
      <c r="G35" s="756">
        <f t="shared" si="12"/>
        <v>0</v>
      </c>
      <c r="H35" s="758">
        <f t="shared" si="13"/>
        <v>0</v>
      </c>
      <c r="I35" s="833">
        <v>0</v>
      </c>
      <c r="J35" s="765">
        <f t="shared" si="14"/>
        <v>0</v>
      </c>
      <c r="K35" s="753">
        <f t="shared" si="15"/>
        <v>0</v>
      </c>
      <c r="L35" s="8"/>
    </row>
    <row r="36" spans="1:12" x14ac:dyDescent="0.2">
      <c r="A36" s="8" t="s">
        <v>260</v>
      </c>
      <c r="B36" s="8"/>
      <c r="C36" s="46"/>
      <c r="D36" s="833">
        <v>0</v>
      </c>
      <c r="E36" s="756">
        <f t="shared" si="10"/>
        <v>0</v>
      </c>
      <c r="F36" s="757">
        <f t="shared" si="11"/>
        <v>0</v>
      </c>
      <c r="G36" s="756">
        <f t="shared" si="12"/>
        <v>0</v>
      </c>
      <c r="H36" s="758">
        <f t="shared" si="13"/>
        <v>0</v>
      </c>
      <c r="I36" s="833">
        <v>0</v>
      </c>
      <c r="J36" s="765">
        <f t="shared" si="14"/>
        <v>0</v>
      </c>
      <c r="K36" s="753">
        <f t="shared" si="15"/>
        <v>0</v>
      </c>
      <c r="L36" s="8"/>
    </row>
    <row r="37" spans="1:12" x14ac:dyDescent="0.2">
      <c r="A37" s="8" t="s">
        <v>79</v>
      </c>
      <c r="B37" s="8"/>
      <c r="C37" s="49"/>
      <c r="D37" s="835">
        <v>0</v>
      </c>
      <c r="E37" s="762">
        <f t="shared" si="10"/>
        <v>0</v>
      </c>
      <c r="F37" s="763">
        <f t="shared" si="11"/>
        <v>0</v>
      </c>
      <c r="G37" s="762">
        <f t="shared" si="12"/>
        <v>0</v>
      </c>
      <c r="H37" s="764">
        <f t="shared" si="13"/>
        <v>0</v>
      </c>
      <c r="I37" s="835">
        <v>0</v>
      </c>
      <c r="J37" s="765">
        <f t="shared" si="14"/>
        <v>0</v>
      </c>
      <c r="K37" s="753">
        <f t="shared" si="15"/>
        <v>0</v>
      </c>
      <c r="L37" s="8"/>
    </row>
    <row r="38" spans="1:12" x14ac:dyDescent="0.2">
      <c r="A38" s="8"/>
      <c r="B38" s="8"/>
      <c r="C38" s="8"/>
      <c r="D38" s="8"/>
      <c r="E38" s="8"/>
      <c r="F38" s="119"/>
      <c r="G38" s="8"/>
      <c r="H38" s="119"/>
      <c r="I38" s="103"/>
      <c r="J38" s="426"/>
      <c r="K38" s="156"/>
      <c r="L38" s="8"/>
    </row>
    <row r="39" spans="1:12" ht="15.75" x14ac:dyDescent="0.4">
      <c r="A39" s="748" t="s">
        <v>270</v>
      </c>
      <c r="B39" s="162"/>
      <c r="C39" s="162"/>
      <c r="D39" s="162"/>
      <c r="E39" s="162"/>
      <c r="F39" s="712">
        <f>SUM(F8:F37)</f>
        <v>0</v>
      </c>
      <c r="G39" s="713">
        <f>IF(A4="12 months",SUM(G8:G37),"")</f>
        <v>0</v>
      </c>
      <c r="H39" s="714" t="str">
        <f>IF(A4="9 months",SUM(H8:H37),"")</f>
        <v/>
      </c>
      <c r="I39" s="8"/>
      <c r="J39" s="715">
        <f>SUM(J9:J37)</f>
        <v>0</v>
      </c>
      <c r="K39" s="716">
        <f>SUM(K9:K37)</f>
        <v>0</v>
      </c>
      <c r="L39" s="8"/>
    </row>
    <row r="40" spans="1:12" ht="15.75" x14ac:dyDescent="0.4">
      <c r="A40" s="749"/>
      <c r="B40" s="156"/>
      <c r="C40" s="156"/>
      <c r="D40" s="156"/>
      <c r="E40" s="156"/>
      <c r="F40" s="652"/>
      <c r="G40" s="651"/>
      <c r="H40" s="652"/>
      <c r="I40" s="8"/>
      <c r="J40" s="119"/>
      <c r="K40" s="8"/>
      <c r="L40" s="8"/>
    </row>
    <row r="41" spans="1:12" ht="13.5" thickBot="1" x14ac:dyDescent="0.25">
      <c r="A41" s="8"/>
      <c r="B41" s="8"/>
      <c r="C41" s="8"/>
      <c r="D41" s="8"/>
      <c r="E41" s="8"/>
      <c r="F41" s="119"/>
      <c r="G41" s="1039" t="s">
        <v>281</v>
      </c>
      <c r="H41" s="1039"/>
      <c r="I41" s="8"/>
      <c r="J41" s="79"/>
      <c r="K41" s="8"/>
      <c r="L41" s="8"/>
    </row>
    <row r="42" spans="1:12" x14ac:dyDescent="0.2">
      <c r="A42" s="1050" t="s">
        <v>271</v>
      </c>
      <c r="B42" s="169"/>
      <c r="C42" s="169"/>
      <c r="D42" s="169"/>
      <c r="E42" s="169"/>
      <c r="F42" s="1027">
        <f>IF(ISERROR(F39/I7),0,F39/I7)</f>
        <v>0</v>
      </c>
      <c r="G42" s="1023">
        <f>IF(ISERROR(IF(A4="12 months",G39/I7,"")),0,IF(A4="12 months",G39/I7,""))</f>
        <v>0</v>
      </c>
      <c r="H42" s="1025" t="str">
        <f>IF(ISERROR(IF(A4="9 months",H39/I7,"")),0,IF(A4="9 months",H39/I7,""))</f>
        <v/>
      </c>
      <c r="I42" s="1022" t="s">
        <v>292</v>
      </c>
      <c r="J42" s="119"/>
      <c r="K42" s="8"/>
      <c r="L42" s="8"/>
    </row>
    <row r="43" spans="1:12" ht="15.75" customHeight="1" x14ac:dyDescent="0.2">
      <c r="A43" s="1051"/>
      <c r="B43" s="156"/>
      <c r="C43" s="156"/>
      <c r="D43" s="156"/>
      <c r="E43" s="156"/>
      <c r="F43" s="1053"/>
      <c r="G43" s="1054"/>
      <c r="H43" s="1055"/>
      <c r="I43" s="1022"/>
      <c r="J43" s="119"/>
      <c r="K43" s="8"/>
      <c r="L43" s="8"/>
    </row>
    <row r="44" spans="1:12" ht="15.75" customHeight="1" x14ac:dyDescent="0.2">
      <c r="A44" s="1051"/>
      <c r="B44" s="156"/>
      <c r="C44" s="156"/>
      <c r="D44" s="156"/>
      <c r="E44" s="156"/>
      <c r="F44" s="717" t="s">
        <v>9</v>
      </c>
      <c r="G44" s="718">
        <f>IF(A4="12 months",G42*6,"")</f>
        <v>0</v>
      </c>
      <c r="H44" s="719" t="str">
        <f>IF(A4="9 months",H42*5,"")</f>
        <v/>
      </c>
      <c r="I44" s="1022" t="s">
        <v>293</v>
      </c>
      <c r="J44" s="119"/>
      <c r="K44" s="8"/>
      <c r="L44" s="8"/>
    </row>
    <row r="45" spans="1:12" ht="15.75" customHeight="1" thickBot="1" x14ac:dyDescent="0.25">
      <c r="A45" s="1052"/>
      <c r="B45" s="167"/>
      <c r="C45" s="167"/>
      <c r="D45" s="167"/>
      <c r="E45" s="167"/>
      <c r="F45" s="720" t="s">
        <v>10</v>
      </c>
      <c r="G45" s="721">
        <f>IF(A4="12 months",G42*6,"")</f>
        <v>0</v>
      </c>
      <c r="H45" s="722" t="str">
        <f>IF(A4="9 months",H42*4,"")</f>
        <v/>
      </c>
      <c r="I45" s="1022"/>
      <c r="J45" s="119"/>
      <c r="K45" s="8"/>
      <c r="L45" s="8"/>
    </row>
    <row r="46" spans="1:12" ht="15.75" customHeight="1" thickBot="1" x14ac:dyDescent="0.25">
      <c r="A46" s="735"/>
      <c r="B46" s="156"/>
      <c r="C46" s="156"/>
      <c r="D46" s="156"/>
      <c r="E46" s="156"/>
      <c r="F46" s="723"/>
      <c r="G46" s="724"/>
      <c r="H46" s="723"/>
      <c r="I46" s="8"/>
      <c r="J46" s="725"/>
      <c r="K46" s="726"/>
      <c r="L46" s="8"/>
    </row>
    <row r="47" spans="1:12" ht="15.75" customHeight="1" x14ac:dyDescent="0.2">
      <c r="A47" s="1040" t="s">
        <v>291</v>
      </c>
      <c r="B47" s="169"/>
      <c r="C47" s="169"/>
      <c r="D47" s="169"/>
      <c r="E47" s="169"/>
      <c r="F47" s="727"/>
      <c r="G47" s="728"/>
      <c r="H47" s="727"/>
      <c r="I47" s="1058" t="s">
        <v>36</v>
      </c>
      <c r="J47" s="1023">
        <f>IF(ISERROR(IF(A4="12 months",J39/J7,"")),0,IF(A4="12 months",J39/J7,""))</f>
        <v>0</v>
      </c>
      <c r="K47" s="1025" t="str">
        <f>IF(ISERROR(IF(A4="9 months",K39/J7,"")),0,IF(A4="9 months",K39/J7,""))</f>
        <v/>
      </c>
      <c r="L47" s="1022"/>
    </row>
    <row r="48" spans="1:12" ht="15.75" customHeight="1" x14ac:dyDescent="0.2">
      <c r="A48" s="1041"/>
      <c r="B48" s="156"/>
      <c r="C48" s="156"/>
      <c r="D48" s="156"/>
      <c r="E48" s="156"/>
      <c r="F48" s="723"/>
      <c r="G48" s="724"/>
      <c r="H48" s="723"/>
      <c r="I48" s="1059"/>
      <c r="J48" s="1024"/>
      <c r="K48" s="1026"/>
      <c r="L48" s="1022"/>
    </row>
    <row r="49" spans="1:12" ht="15.75" customHeight="1" x14ac:dyDescent="0.2">
      <c r="A49" s="1041"/>
      <c r="B49" s="156"/>
      <c r="C49" s="156"/>
      <c r="D49" s="156"/>
      <c r="E49" s="156"/>
      <c r="F49" s="723"/>
      <c r="G49" s="724"/>
      <c r="H49" s="723"/>
      <c r="I49" s="729" t="s">
        <v>9</v>
      </c>
      <c r="J49" s="718">
        <f>IF(A4="12 months",J47/2,"")</f>
        <v>0</v>
      </c>
      <c r="K49" s="730" t="str">
        <f>IF(A4="9 months",K47/2,"")</f>
        <v/>
      </c>
      <c r="L49" s="1022" t="s">
        <v>293</v>
      </c>
    </row>
    <row r="50" spans="1:12" ht="15.75" customHeight="1" thickBot="1" x14ac:dyDescent="0.25">
      <c r="A50" s="1042"/>
      <c r="B50" s="167"/>
      <c r="C50" s="167"/>
      <c r="D50" s="167"/>
      <c r="E50" s="167"/>
      <c r="F50" s="731"/>
      <c r="G50" s="732"/>
      <c r="H50" s="731"/>
      <c r="I50" s="733" t="s">
        <v>10</v>
      </c>
      <c r="J50" s="721">
        <f>IF(A4="12 months",J47/2,"")</f>
        <v>0</v>
      </c>
      <c r="K50" s="722" t="str">
        <f>IF(A4="9 months",K47/2,"")</f>
        <v/>
      </c>
      <c r="L50" s="1022"/>
    </row>
    <row r="51" spans="1:12" ht="15.75" customHeight="1" thickBot="1" x14ac:dyDescent="0.25">
      <c r="A51" s="750"/>
      <c r="B51" s="156"/>
      <c r="C51" s="156"/>
      <c r="D51" s="156"/>
      <c r="E51" s="156"/>
      <c r="F51" s="723"/>
      <c r="G51" s="8"/>
      <c r="H51" s="119"/>
      <c r="I51" s="729"/>
      <c r="J51" s="734"/>
      <c r="K51" s="734"/>
      <c r="L51" s="735"/>
    </row>
    <row r="52" spans="1:12" ht="15.75" customHeight="1" x14ac:dyDescent="0.2">
      <c r="A52" s="1040" t="s">
        <v>311</v>
      </c>
      <c r="B52" s="169"/>
      <c r="C52" s="752"/>
      <c r="D52" s="752"/>
      <c r="E52" s="169"/>
      <c r="F52" s="727"/>
      <c r="G52" s="736" t="s">
        <v>310</v>
      </c>
      <c r="H52" s="790" t="s">
        <v>87</v>
      </c>
      <c r="I52" s="729"/>
      <c r="J52" s="734"/>
      <c r="K52" s="734"/>
      <c r="L52" s="735"/>
    </row>
    <row r="53" spans="1:12" ht="15.75" customHeight="1" x14ac:dyDescent="0.2">
      <c r="A53" s="1041"/>
      <c r="B53" s="156"/>
      <c r="C53" s="156"/>
      <c r="D53" s="156"/>
      <c r="E53" s="156"/>
      <c r="F53" s="737" t="s">
        <v>9</v>
      </c>
      <c r="G53" s="738" t="str">
        <f>IF(I7-'Membership Record'!G7&lt;=0,"0",I7-'Membership Record'!G7)</f>
        <v>0</v>
      </c>
      <c r="H53" s="739">
        <f>IF(A2="No",0,IF(G44="",H44*G53,G44*G53))</f>
        <v>0</v>
      </c>
      <c r="I53" s="729"/>
      <c r="J53" s="734"/>
      <c r="K53" s="734"/>
      <c r="L53" s="735"/>
    </row>
    <row r="54" spans="1:12" ht="15.75" customHeight="1" thickBot="1" x14ac:dyDescent="0.25">
      <c r="A54" s="1042"/>
      <c r="B54" s="167"/>
      <c r="C54" s="167"/>
      <c r="D54" s="167"/>
      <c r="E54" s="167"/>
      <c r="F54" s="720" t="s">
        <v>10</v>
      </c>
      <c r="G54" s="740">
        <f>IF(I7-'Membership Record'!P7&lt;=0,0,I7-'Membership Record'!P7)</f>
        <v>0</v>
      </c>
      <c r="H54" s="741">
        <f>IF(A2="No",0,IF(H45="",G45*G54,H45*G54))</f>
        <v>0</v>
      </c>
      <c r="I54" s="729"/>
      <c r="J54" s="734"/>
      <c r="K54" s="734"/>
      <c r="L54" s="735"/>
    </row>
    <row r="55" spans="1:12" ht="15.75" customHeight="1" x14ac:dyDescent="0.2">
      <c r="A55" s="750"/>
      <c r="B55" s="156"/>
      <c r="C55" s="8"/>
      <c r="D55" s="8"/>
      <c r="E55" s="156"/>
      <c r="F55" s="742"/>
      <c r="G55" s="724"/>
      <c r="H55" s="724"/>
      <c r="I55" s="729"/>
      <c r="J55" s="734"/>
      <c r="K55" s="734"/>
      <c r="L55" s="735"/>
    </row>
    <row r="56" spans="1:12" x14ac:dyDescent="0.2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</row>
    <row r="57" spans="1:12" ht="15" customHeight="1" x14ac:dyDescent="0.25">
      <c r="A57" s="751" t="s">
        <v>273</v>
      </c>
      <c r="B57" s="8"/>
      <c r="C57" s="8"/>
      <c r="D57" s="8"/>
      <c r="E57" s="8"/>
      <c r="F57" s="8"/>
      <c r="G57" s="8"/>
      <c r="H57" s="8"/>
      <c r="I57" s="1060" t="s">
        <v>280</v>
      </c>
      <c r="J57" s="1062" t="s">
        <v>316</v>
      </c>
      <c r="K57" s="1062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1061"/>
      <c r="J58" s="1062"/>
      <c r="K58" s="1062"/>
      <c r="L58" s="8"/>
    </row>
    <row r="59" spans="1:12" x14ac:dyDescent="0.2">
      <c r="A59" s="8"/>
      <c r="B59" s="8"/>
      <c r="C59" s="8"/>
      <c r="D59" s="8"/>
      <c r="E59" s="8"/>
      <c r="F59" s="8"/>
      <c r="G59" s="8"/>
      <c r="H59" s="8"/>
      <c r="I59" s="747"/>
      <c r="J59" s="1046">
        <f>'Membership Record'!L7</f>
        <v>0</v>
      </c>
      <c r="K59" s="1047"/>
      <c r="L59" s="8"/>
    </row>
    <row r="60" spans="1:12" x14ac:dyDescent="0.2">
      <c r="A60" s="8" t="s">
        <v>263</v>
      </c>
      <c r="B60" s="8"/>
      <c r="C60" s="42"/>
      <c r="D60" s="832">
        <v>0</v>
      </c>
      <c r="E60" s="753">
        <f>C60*D60</f>
        <v>0</v>
      </c>
      <c r="F60" s="765">
        <f>C60+E60</f>
        <v>0</v>
      </c>
      <c r="G60" s="753">
        <f>F60/12</f>
        <v>0</v>
      </c>
      <c r="H60" s="765">
        <f>F60/9</f>
        <v>0</v>
      </c>
      <c r="I60" s="8"/>
      <c r="J60" s="8"/>
      <c r="K60" s="8"/>
      <c r="L60" s="8"/>
    </row>
    <row r="61" spans="1:12" x14ac:dyDescent="0.2">
      <c r="A61" s="8" t="s">
        <v>264</v>
      </c>
      <c r="B61" s="8"/>
      <c r="C61" s="46"/>
      <c r="D61" s="833">
        <v>0</v>
      </c>
      <c r="E61" s="756">
        <f>C61*D61</f>
        <v>0</v>
      </c>
      <c r="F61" s="766">
        <f>C61+E61</f>
        <v>0</v>
      </c>
      <c r="G61" s="756">
        <f>F61/12</f>
        <v>0</v>
      </c>
      <c r="H61" s="766">
        <f>F61/9</f>
        <v>0</v>
      </c>
      <c r="I61" s="8"/>
      <c r="J61" s="8"/>
      <c r="K61" s="8"/>
      <c r="L61" s="8"/>
    </row>
    <row r="62" spans="1:12" x14ac:dyDescent="0.2">
      <c r="A62" s="8" t="s">
        <v>239</v>
      </c>
      <c r="B62" s="8"/>
      <c r="C62" s="756"/>
      <c r="D62" s="834"/>
      <c r="E62" s="756"/>
      <c r="F62" s="766"/>
      <c r="G62" s="756"/>
      <c r="H62" s="766"/>
      <c r="I62" s="8"/>
      <c r="J62" s="8"/>
      <c r="K62" s="8"/>
      <c r="L62" s="8"/>
    </row>
    <row r="63" spans="1:12" x14ac:dyDescent="0.2">
      <c r="A63" s="8" t="s">
        <v>242</v>
      </c>
      <c r="B63" s="8"/>
      <c r="C63" s="46"/>
      <c r="D63" s="833">
        <v>0</v>
      </c>
      <c r="E63" s="756">
        <f t="shared" ref="E63:E65" si="16">C63*D63</f>
        <v>0</v>
      </c>
      <c r="F63" s="766">
        <f t="shared" ref="F63:F65" si="17">C63+E63</f>
        <v>0</v>
      </c>
      <c r="G63" s="756">
        <f t="shared" ref="G63:G65" si="18">F63/12</f>
        <v>0</v>
      </c>
      <c r="H63" s="766">
        <f t="shared" ref="H63:H65" si="19">F63/9</f>
        <v>0</v>
      </c>
      <c r="I63" s="8"/>
      <c r="J63" s="8"/>
      <c r="K63" s="8"/>
      <c r="L63" s="8"/>
    </row>
    <row r="64" spans="1:12" x14ac:dyDescent="0.2">
      <c r="A64" s="8" t="s">
        <v>265</v>
      </c>
      <c r="B64" s="8"/>
      <c r="C64" s="46"/>
      <c r="D64" s="833">
        <v>0</v>
      </c>
      <c r="E64" s="756">
        <f t="shared" si="16"/>
        <v>0</v>
      </c>
      <c r="F64" s="766">
        <f t="shared" si="17"/>
        <v>0</v>
      </c>
      <c r="G64" s="756">
        <f t="shared" si="18"/>
        <v>0</v>
      </c>
      <c r="H64" s="766">
        <f t="shared" si="19"/>
        <v>0</v>
      </c>
      <c r="I64" s="8"/>
      <c r="J64" s="8"/>
      <c r="K64" s="8"/>
      <c r="L64" s="8"/>
    </row>
    <row r="65" spans="1:12" x14ac:dyDescent="0.2">
      <c r="A65" s="8" t="s">
        <v>250</v>
      </c>
      <c r="B65" s="8"/>
      <c r="C65" s="46"/>
      <c r="D65" s="833">
        <v>0</v>
      </c>
      <c r="E65" s="756">
        <f t="shared" si="16"/>
        <v>0</v>
      </c>
      <c r="F65" s="766">
        <f t="shared" si="17"/>
        <v>0</v>
      </c>
      <c r="G65" s="756">
        <f t="shared" si="18"/>
        <v>0</v>
      </c>
      <c r="H65" s="766">
        <f t="shared" si="19"/>
        <v>0</v>
      </c>
      <c r="I65" s="8"/>
      <c r="J65" s="8"/>
      <c r="K65" s="8"/>
      <c r="L65" s="8"/>
    </row>
    <row r="66" spans="1:12" x14ac:dyDescent="0.2">
      <c r="A66" s="8" t="s">
        <v>246</v>
      </c>
      <c r="B66" s="8"/>
      <c r="C66" s="756"/>
      <c r="D66" s="834"/>
      <c r="E66" s="756"/>
      <c r="F66" s="766"/>
      <c r="G66" s="756"/>
      <c r="H66" s="766"/>
      <c r="I66" s="8"/>
      <c r="J66" s="8"/>
      <c r="K66" s="8"/>
      <c r="L66" s="8"/>
    </row>
    <row r="67" spans="1:12" x14ac:dyDescent="0.2">
      <c r="A67" s="8" t="s">
        <v>266</v>
      </c>
      <c r="B67" s="8"/>
      <c r="C67" s="46"/>
      <c r="D67" s="833">
        <v>0</v>
      </c>
      <c r="E67" s="756">
        <f t="shared" ref="E67:E73" si="20">C67*D67</f>
        <v>0</v>
      </c>
      <c r="F67" s="766">
        <f t="shared" ref="F67:F73" si="21">C67+E67</f>
        <v>0</v>
      </c>
      <c r="G67" s="756">
        <f t="shared" ref="G67:G75" si="22">F67/12</f>
        <v>0</v>
      </c>
      <c r="H67" s="766">
        <f t="shared" ref="H67:H75" si="23">F67/9</f>
        <v>0</v>
      </c>
      <c r="I67" s="8"/>
      <c r="J67" s="8"/>
      <c r="K67" s="8"/>
      <c r="L67" s="8"/>
    </row>
    <row r="68" spans="1:12" x14ac:dyDescent="0.2">
      <c r="A68" s="8" t="s">
        <v>265</v>
      </c>
      <c r="B68" s="8"/>
      <c r="C68" s="46"/>
      <c r="D68" s="833">
        <v>0</v>
      </c>
      <c r="E68" s="756">
        <f t="shared" si="20"/>
        <v>0</v>
      </c>
      <c r="F68" s="766">
        <f t="shared" si="21"/>
        <v>0</v>
      </c>
      <c r="G68" s="756">
        <f t="shared" si="22"/>
        <v>0</v>
      </c>
      <c r="H68" s="766">
        <f t="shared" si="23"/>
        <v>0</v>
      </c>
      <c r="I68" s="8"/>
      <c r="J68" s="8"/>
      <c r="K68" s="8"/>
      <c r="L68" s="8"/>
    </row>
    <row r="69" spans="1:12" x14ac:dyDescent="0.2">
      <c r="A69" s="8" t="s">
        <v>250</v>
      </c>
      <c r="B69" s="8"/>
      <c r="C69" s="46"/>
      <c r="D69" s="833">
        <v>0</v>
      </c>
      <c r="E69" s="756">
        <f t="shared" si="20"/>
        <v>0</v>
      </c>
      <c r="F69" s="766">
        <f t="shared" si="21"/>
        <v>0</v>
      </c>
      <c r="G69" s="756">
        <f t="shared" si="22"/>
        <v>0</v>
      </c>
      <c r="H69" s="766">
        <f t="shared" si="23"/>
        <v>0</v>
      </c>
      <c r="I69" s="8"/>
      <c r="J69" s="8"/>
      <c r="K69" s="8"/>
      <c r="L69" s="8"/>
    </row>
    <row r="70" spans="1:12" x14ac:dyDescent="0.2">
      <c r="A70" s="8" t="s">
        <v>267</v>
      </c>
      <c r="B70" s="8"/>
      <c r="C70" s="46"/>
      <c r="D70" s="833">
        <v>0</v>
      </c>
      <c r="E70" s="756">
        <f t="shared" si="20"/>
        <v>0</v>
      </c>
      <c r="F70" s="766">
        <f t="shared" si="21"/>
        <v>0</v>
      </c>
      <c r="G70" s="756">
        <f t="shared" si="22"/>
        <v>0</v>
      </c>
      <c r="H70" s="766">
        <f t="shared" si="23"/>
        <v>0</v>
      </c>
      <c r="I70" s="8"/>
      <c r="J70" s="8"/>
      <c r="K70" s="8"/>
      <c r="L70" s="8"/>
    </row>
    <row r="71" spans="1:12" x14ac:dyDescent="0.2">
      <c r="A71" s="8" t="s">
        <v>259</v>
      </c>
      <c r="B71" s="8"/>
      <c r="C71" s="46"/>
      <c r="D71" s="833">
        <v>0</v>
      </c>
      <c r="E71" s="756">
        <f t="shared" si="20"/>
        <v>0</v>
      </c>
      <c r="F71" s="766">
        <f t="shared" si="21"/>
        <v>0</v>
      </c>
      <c r="G71" s="756">
        <f t="shared" si="22"/>
        <v>0</v>
      </c>
      <c r="H71" s="766">
        <f t="shared" si="23"/>
        <v>0</v>
      </c>
      <c r="I71" s="8"/>
      <c r="J71" s="8"/>
      <c r="K71" s="8"/>
      <c r="L71" s="8"/>
    </row>
    <row r="72" spans="1:12" x14ac:dyDescent="0.2">
      <c r="A72" s="8" t="s">
        <v>260</v>
      </c>
      <c r="B72" s="8"/>
      <c r="C72" s="46"/>
      <c r="D72" s="833">
        <v>0</v>
      </c>
      <c r="E72" s="756">
        <f t="shared" si="20"/>
        <v>0</v>
      </c>
      <c r="F72" s="766">
        <f t="shared" si="21"/>
        <v>0</v>
      </c>
      <c r="G72" s="756">
        <f t="shared" si="22"/>
        <v>0</v>
      </c>
      <c r="H72" s="766">
        <f t="shared" si="23"/>
        <v>0</v>
      </c>
      <c r="I72" s="8"/>
      <c r="J72" s="8"/>
      <c r="K72" s="8"/>
      <c r="L72" s="8"/>
    </row>
    <row r="73" spans="1:12" x14ac:dyDescent="0.2">
      <c r="A73" s="8" t="s">
        <v>79</v>
      </c>
      <c r="B73" s="8"/>
      <c r="C73" s="49"/>
      <c r="D73" s="835">
        <v>0</v>
      </c>
      <c r="E73" s="762">
        <f t="shared" si="20"/>
        <v>0</v>
      </c>
      <c r="F73" s="768">
        <f t="shared" si="21"/>
        <v>0</v>
      </c>
      <c r="G73" s="762">
        <f t="shared" si="22"/>
        <v>0</v>
      </c>
      <c r="H73" s="768">
        <f t="shared" si="23"/>
        <v>0</v>
      </c>
      <c r="I73" s="8"/>
      <c r="J73" s="8"/>
      <c r="K73" s="8"/>
      <c r="L73" s="8"/>
    </row>
    <row r="74" spans="1:12" x14ac:dyDescent="0.2">
      <c r="A74" s="8"/>
      <c r="B74" s="8"/>
      <c r="C74" s="8"/>
      <c r="D74" s="8"/>
      <c r="E74" s="8"/>
      <c r="F74" s="119"/>
      <c r="G74" s="8"/>
      <c r="H74" s="119"/>
      <c r="I74" s="8"/>
      <c r="J74" s="8"/>
      <c r="K74" s="8"/>
      <c r="L74" s="8"/>
    </row>
    <row r="75" spans="1:12" ht="15.75" x14ac:dyDescent="0.4">
      <c r="A75" s="748" t="s">
        <v>275</v>
      </c>
      <c r="B75" s="162"/>
      <c r="C75" s="162"/>
      <c r="D75" s="162"/>
      <c r="E75" s="162"/>
      <c r="F75" s="712">
        <f>SUM(F60:F73)</f>
        <v>0</v>
      </c>
      <c r="G75" s="713">
        <f t="shared" si="22"/>
        <v>0</v>
      </c>
      <c r="H75" s="714">
        <f t="shared" si="23"/>
        <v>0</v>
      </c>
      <c r="I75" s="8"/>
      <c r="J75" s="8"/>
      <c r="K75" s="8"/>
      <c r="L75" s="8"/>
    </row>
    <row r="76" spans="1:12" ht="15.75" x14ac:dyDescent="0.4">
      <c r="A76" s="749"/>
      <c r="B76" s="156"/>
      <c r="C76" s="156"/>
      <c r="D76" s="156"/>
      <c r="E76" s="156"/>
      <c r="F76" s="652"/>
      <c r="G76" s="651"/>
      <c r="H76" s="652"/>
      <c r="I76" s="8"/>
      <c r="J76" s="8"/>
      <c r="K76" s="8"/>
      <c r="L76" s="8"/>
    </row>
    <row r="77" spans="1:12" ht="13.5" thickBot="1" x14ac:dyDescent="0.25">
      <c r="A77" s="8"/>
      <c r="B77" s="8"/>
      <c r="C77" s="8"/>
      <c r="D77" s="8"/>
      <c r="E77" s="8"/>
      <c r="F77" s="119"/>
      <c r="G77" s="1043" t="s">
        <v>287</v>
      </c>
      <c r="H77" s="1043"/>
      <c r="I77" s="8"/>
      <c r="J77" s="8"/>
      <c r="K77" s="8"/>
      <c r="L77" s="8"/>
    </row>
    <row r="78" spans="1:12" x14ac:dyDescent="0.2">
      <c r="A78" s="1035" t="s">
        <v>318</v>
      </c>
      <c r="B78" s="169"/>
      <c r="C78" s="169"/>
      <c r="D78" s="169"/>
      <c r="E78" s="169"/>
      <c r="F78" s="1029">
        <f>IF(ISERROR(F75/I59),0,F75/I59)</f>
        <v>0</v>
      </c>
      <c r="G78" s="1031">
        <f>IF(ISERROR(IF(A4="12 months",G75/I59,"")),0,IF(A4="12 months",G75/I59,""))</f>
        <v>0</v>
      </c>
      <c r="H78" s="1033" t="str">
        <f>IF(ISERROR(IF(A4="9 months",H75/I59,"")),0,IF(A4="9 months",H75/I59,""))</f>
        <v/>
      </c>
      <c r="I78" s="1022" t="s">
        <v>292</v>
      </c>
      <c r="J78" s="8"/>
      <c r="K78" s="8"/>
      <c r="L78" s="8"/>
    </row>
    <row r="79" spans="1:12" ht="15.75" customHeight="1" thickBot="1" x14ac:dyDescent="0.25">
      <c r="A79" s="1037"/>
      <c r="B79" s="167"/>
      <c r="C79" s="167"/>
      <c r="D79" s="167"/>
      <c r="E79" s="167"/>
      <c r="F79" s="1030"/>
      <c r="G79" s="1032"/>
      <c r="H79" s="1034"/>
      <c r="I79" s="1022"/>
      <c r="J79" s="8"/>
      <c r="K79" s="8"/>
      <c r="L79" s="8"/>
    </row>
    <row r="80" spans="1:12" ht="15.75" customHeight="1" x14ac:dyDescent="0.2">
      <c r="A80" s="156"/>
      <c r="B80" s="156"/>
      <c r="C80" s="156"/>
      <c r="D80" s="156"/>
      <c r="E80" s="156"/>
      <c r="F80" s="723"/>
      <c r="G80" s="724"/>
      <c r="H80" s="723"/>
      <c r="I80" s="10"/>
      <c r="J80" s="8"/>
      <c r="K80" s="8"/>
      <c r="L80" s="8"/>
    </row>
    <row r="81" spans="1:12" ht="13.5" thickBot="1" x14ac:dyDescent="0.25">
      <c r="A81" s="8"/>
      <c r="B81" s="8"/>
      <c r="C81" s="8"/>
      <c r="D81" s="8"/>
      <c r="E81" s="8"/>
      <c r="F81" s="119"/>
      <c r="G81" s="1044" t="s">
        <v>288</v>
      </c>
      <c r="H81" s="1044"/>
      <c r="I81" s="10"/>
      <c r="J81" s="8"/>
      <c r="K81" s="8"/>
      <c r="L81" s="8"/>
    </row>
    <row r="82" spans="1:12" ht="12.75" customHeight="1" x14ac:dyDescent="0.2">
      <c r="A82" s="1035" t="s">
        <v>286</v>
      </c>
      <c r="B82" s="169"/>
      <c r="C82" s="169"/>
      <c r="D82" s="169"/>
      <c r="E82" s="169"/>
      <c r="F82" s="1027">
        <f>IF(ISERROR(F75/J59),0,F75/J59)</f>
        <v>0</v>
      </c>
      <c r="G82" s="1023">
        <f>IF(A4="12 months",F82/12,"")</f>
        <v>0</v>
      </c>
      <c r="H82" s="1025" t="str">
        <f>IF(A4="9 months",F82/9,"")</f>
        <v/>
      </c>
      <c r="I82" s="1022" t="s">
        <v>292</v>
      </c>
      <c r="J82" s="8"/>
      <c r="K82" s="8"/>
      <c r="L82" s="8"/>
    </row>
    <row r="83" spans="1:12" ht="15.75" customHeight="1" x14ac:dyDescent="0.2">
      <c r="A83" s="1036"/>
      <c r="B83" s="156"/>
      <c r="C83" s="156"/>
      <c r="D83" s="156"/>
      <c r="E83" s="156"/>
      <c r="F83" s="1028"/>
      <c r="G83" s="1024"/>
      <c r="H83" s="1026"/>
      <c r="I83" s="1022"/>
      <c r="J83" s="8"/>
      <c r="K83" s="8"/>
      <c r="L83" s="8"/>
    </row>
    <row r="84" spans="1:12" ht="15" customHeight="1" x14ac:dyDescent="0.2">
      <c r="A84" s="1036"/>
      <c r="B84" s="156"/>
      <c r="C84" s="156"/>
      <c r="D84" s="156"/>
      <c r="E84" s="156"/>
      <c r="F84" s="769" t="s">
        <v>9</v>
      </c>
      <c r="G84" s="743">
        <f>IF(A4="12 months",G82*6,"")</f>
        <v>0</v>
      </c>
      <c r="H84" s="744" t="str">
        <f>IF(A4="9 months",H82*5,"")</f>
        <v/>
      </c>
      <c r="I84" s="1022" t="s">
        <v>293</v>
      </c>
      <c r="J84" s="8"/>
      <c r="K84" s="8"/>
      <c r="L84" s="8"/>
    </row>
    <row r="85" spans="1:12" ht="15.75" customHeight="1" thickBot="1" x14ac:dyDescent="0.25">
      <c r="A85" s="1037"/>
      <c r="B85" s="167"/>
      <c r="C85" s="167"/>
      <c r="D85" s="167"/>
      <c r="E85" s="167"/>
      <c r="F85" s="770" t="s">
        <v>10</v>
      </c>
      <c r="G85" s="745">
        <f>IF(A4="12 months",G82*6,"")</f>
        <v>0</v>
      </c>
      <c r="H85" s="746" t="str">
        <f>IF(A4="9 months",H82*4,"")</f>
        <v/>
      </c>
      <c r="I85" s="1022"/>
      <c r="J85" s="8"/>
      <c r="K85" s="8"/>
      <c r="L85" s="8"/>
    </row>
  </sheetData>
  <sheetProtection password="CC6F" sheet="1" objects="1" scenarios="1" formatColumns="0" selectLockedCells="1"/>
  <mergeCells count="40">
    <mergeCell ref="L47:L48"/>
    <mergeCell ref="L49:L50"/>
    <mergeCell ref="I47:I48"/>
    <mergeCell ref="I57:I58"/>
    <mergeCell ref="J57:K58"/>
    <mergeCell ref="J47:J48"/>
    <mergeCell ref="I3:K3"/>
    <mergeCell ref="A42:A45"/>
    <mergeCell ref="A47:A50"/>
    <mergeCell ref="I42:I43"/>
    <mergeCell ref="I44:I45"/>
    <mergeCell ref="C3:C4"/>
    <mergeCell ref="D3:D4"/>
    <mergeCell ref="E3:E4"/>
    <mergeCell ref="F3:F4"/>
    <mergeCell ref="G3:G4"/>
    <mergeCell ref="F42:F43"/>
    <mergeCell ref="G42:G43"/>
    <mergeCell ref="H42:H43"/>
    <mergeCell ref="I5:I6"/>
    <mergeCell ref="I78:I79"/>
    <mergeCell ref="J5:K6"/>
    <mergeCell ref="J7:K7"/>
    <mergeCell ref="K47:K48"/>
    <mergeCell ref="J59:K59"/>
    <mergeCell ref="F78:F79"/>
    <mergeCell ref="G78:G79"/>
    <mergeCell ref="H78:H79"/>
    <mergeCell ref="A82:A85"/>
    <mergeCell ref="H3:H4"/>
    <mergeCell ref="G41:H41"/>
    <mergeCell ref="A52:A54"/>
    <mergeCell ref="A78:A79"/>
    <mergeCell ref="G77:H77"/>
    <mergeCell ref="G81:H81"/>
    <mergeCell ref="I82:I83"/>
    <mergeCell ref="I84:I85"/>
    <mergeCell ref="G82:G83"/>
    <mergeCell ref="H82:H83"/>
    <mergeCell ref="F82:F83"/>
  </mergeCells>
  <dataValidations count="2">
    <dataValidation type="list" showInputMessage="1" showErrorMessage="1" prompt="How long is the lease and meal plan signed by chapter members? " sqref="A4" xr:uid="{00000000-0002-0000-0400-000000000000}">
      <formula1>$AA$5:$AA$6</formula1>
    </dataValidation>
    <dataValidation type="list" showInputMessage="1" showErrorMessage="1" prompt="Select the appropriate response for your chapter" sqref="A2" xr:uid="{00000000-0002-0000-0400-000001000000}">
      <formula1>$Z$5:$Z$6</formula1>
    </dataValidation>
  </dataValidations>
  <pageMargins left="0.5" right="0.5" top="0.5" bottom="0.5" header="0.5" footer="0.5"/>
  <pageSetup scale="74" fitToHeight="0" orientation="landscape" r:id="rId1"/>
  <rowBreaks count="1" manualBreakCount="1">
    <brk id="54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71"/>
  <sheetViews>
    <sheetView showGridLines="0" zoomScale="90" zoomScaleNormal="90" workbookViewId="0">
      <pane xSplit="12" ySplit="2" topLeftCell="M42" activePane="bottomRight" state="frozen"/>
      <selection pane="topRight" activeCell="M1" sqref="M1"/>
      <selection pane="bottomLeft" activeCell="A3" sqref="A3"/>
      <selection pane="bottomRight" activeCell="B57" sqref="B57"/>
    </sheetView>
  </sheetViews>
  <sheetFormatPr defaultColWidth="9.140625" defaultRowHeight="12.75" x14ac:dyDescent="0.2"/>
  <cols>
    <col min="1" max="1" width="30.85546875" style="8" customWidth="1"/>
    <col min="2" max="4" width="15.42578125" style="8" bestFit="1" customWidth="1"/>
    <col min="5" max="5" width="0.85546875" style="9" customWidth="1"/>
    <col min="6" max="6" width="13.140625" style="8" customWidth="1"/>
    <col min="7" max="7" width="13.85546875" style="8" customWidth="1"/>
    <col min="8" max="8" width="13.85546875" style="8" bestFit="1" customWidth="1"/>
    <col min="9" max="9" width="0.7109375" style="9" customWidth="1"/>
    <col min="10" max="11" width="14.42578125" style="8" bestFit="1" customWidth="1"/>
    <col min="12" max="12" width="14.28515625" style="8" customWidth="1"/>
    <col min="13" max="13" width="13.140625" style="51" bestFit="1" customWidth="1"/>
    <col min="14" max="15" width="12.5703125" style="51" bestFit="1" customWidth="1"/>
    <col min="16" max="16" width="12.42578125" style="51" bestFit="1" customWidth="1"/>
    <col min="17" max="17" width="12.7109375" style="51" bestFit="1" customWidth="1"/>
    <col min="18" max="18" width="13" style="51" bestFit="1" customWidth="1"/>
    <col min="19" max="24" width="12.5703125" style="51" bestFit="1" customWidth="1"/>
    <col min="25" max="26" width="9.140625" style="8"/>
    <col min="27" max="27" width="0" style="8" hidden="1" customWidth="1"/>
    <col min="28" max="16384" width="9.140625" style="8"/>
  </cols>
  <sheetData>
    <row r="1" spans="1:27" ht="15.75" customHeight="1" x14ac:dyDescent="0.25">
      <c r="A1" s="1068"/>
      <c r="B1" s="1070" t="s">
        <v>51</v>
      </c>
      <c r="C1" s="1070"/>
      <c r="D1" s="1070"/>
      <c r="F1" s="995" t="s">
        <v>82</v>
      </c>
      <c r="G1" s="995"/>
      <c r="H1" s="995"/>
      <c r="J1" s="1070" t="s">
        <v>95</v>
      </c>
      <c r="K1" s="1070"/>
      <c r="L1" s="1070"/>
      <c r="M1" s="1063" t="s">
        <v>643</v>
      </c>
      <c r="N1" s="1063"/>
      <c r="O1" s="1063"/>
      <c r="P1" s="1063"/>
      <c r="Q1" s="1063"/>
      <c r="R1" s="1063"/>
      <c r="S1" s="1063" t="s">
        <v>644</v>
      </c>
      <c r="T1" s="1063"/>
      <c r="U1" s="1063"/>
      <c r="V1" s="1063"/>
      <c r="W1" s="1063"/>
      <c r="X1" s="1063"/>
    </row>
    <row r="2" spans="1:27" ht="12.75" customHeight="1" x14ac:dyDescent="0.2">
      <c r="A2" s="1069"/>
      <c r="B2" s="226" t="s">
        <v>9</v>
      </c>
      <c r="C2" s="225" t="s">
        <v>10</v>
      </c>
      <c r="D2" s="260" t="s">
        <v>36</v>
      </c>
      <c r="E2" s="33"/>
      <c r="F2" s="226" t="s">
        <v>9</v>
      </c>
      <c r="G2" s="225" t="s">
        <v>10</v>
      </c>
      <c r="H2" s="260" t="s">
        <v>36</v>
      </c>
      <c r="I2" s="33"/>
      <c r="J2" s="226" t="s">
        <v>9</v>
      </c>
      <c r="K2" s="225" t="s">
        <v>10</v>
      </c>
      <c r="L2" s="260" t="s">
        <v>36</v>
      </c>
      <c r="M2" s="59" t="s">
        <v>97</v>
      </c>
      <c r="N2" s="100" t="s">
        <v>98</v>
      </c>
      <c r="O2" s="101" t="s">
        <v>99</v>
      </c>
      <c r="P2" s="100" t="s">
        <v>100</v>
      </c>
      <c r="Q2" s="101" t="s">
        <v>101</v>
      </c>
      <c r="R2" s="100" t="s">
        <v>102</v>
      </c>
      <c r="S2" s="101" t="s">
        <v>103</v>
      </c>
      <c r="T2" s="100" t="s">
        <v>104</v>
      </c>
      <c r="U2" s="101" t="s">
        <v>105</v>
      </c>
      <c r="V2" s="100" t="s">
        <v>106</v>
      </c>
      <c r="W2" s="101" t="s">
        <v>107</v>
      </c>
      <c r="X2" s="100" t="s">
        <v>108</v>
      </c>
    </row>
    <row r="3" spans="1:27" ht="16.5" customHeight="1" x14ac:dyDescent="0.2">
      <c r="A3" s="281" t="s">
        <v>37</v>
      </c>
      <c r="B3" s="444"/>
      <c r="C3" s="1067"/>
      <c r="D3" s="156"/>
      <c r="F3" s="7"/>
      <c r="G3" s="797"/>
      <c r="H3" s="444"/>
      <c r="J3" s="7"/>
      <c r="K3" s="797"/>
      <c r="L3" s="444"/>
      <c r="M3" s="233"/>
      <c r="N3" s="679"/>
      <c r="O3" s="234"/>
      <c r="P3" s="679"/>
      <c r="Q3" s="234"/>
      <c r="R3" s="679"/>
      <c r="S3" s="234"/>
      <c r="T3" s="679"/>
      <c r="U3" s="234"/>
      <c r="V3" s="679"/>
      <c r="W3" s="234"/>
      <c r="X3" s="679"/>
      <c r="AA3" s="8" t="s">
        <v>453</v>
      </c>
    </row>
    <row r="4" spans="1:27" ht="15.75" x14ac:dyDescent="0.2">
      <c r="A4" s="231" t="s">
        <v>38</v>
      </c>
      <c r="B4" s="156"/>
      <c r="C4" s="1067"/>
      <c r="D4" s="444"/>
      <c r="G4" s="426"/>
      <c r="H4" s="156"/>
      <c r="I4" s="104"/>
      <c r="K4" s="426"/>
      <c r="L4" s="156"/>
      <c r="M4" s="105"/>
      <c r="N4" s="680"/>
      <c r="O4" s="106"/>
      <c r="P4" s="680"/>
      <c r="Q4" s="106"/>
      <c r="R4" s="680"/>
      <c r="S4" s="106"/>
      <c r="T4" s="680"/>
      <c r="U4" s="106"/>
      <c r="V4" s="680"/>
      <c r="W4" s="106"/>
      <c r="X4" s="680"/>
      <c r="AA4" s="8" t="s">
        <v>454</v>
      </c>
    </row>
    <row r="5" spans="1:27" ht="15.75" x14ac:dyDescent="0.4">
      <c r="A5" s="289" t="s">
        <v>40</v>
      </c>
      <c r="B5" s="639">
        <v>0</v>
      </c>
      <c r="C5" s="640">
        <f>IF(C3="",0,IF(C3="Budgeted fall surplus/(deficit)",B109,IF(C3="Actual fall surplus/(deficit)",F109,0)))</f>
        <v>0</v>
      </c>
      <c r="D5" s="641"/>
      <c r="F5" s="108">
        <f>B5</f>
        <v>0</v>
      </c>
      <c r="G5" s="640">
        <f>F109</f>
        <v>0</v>
      </c>
      <c r="H5" s="795"/>
      <c r="I5" s="109"/>
      <c r="J5" s="110"/>
      <c r="K5" s="799"/>
      <c r="L5" s="798"/>
      <c r="M5" s="142">
        <f>F5</f>
        <v>0</v>
      </c>
      <c r="N5" s="681">
        <f t="shared" ref="N5:X5" si="0">M109</f>
        <v>0</v>
      </c>
      <c r="O5" s="143">
        <f t="shared" si="0"/>
        <v>0</v>
      </c>
      <c r="P5" s="681">
        <f t="shared" si="0"/>
        <v>0</v>
      </c>
      <c r="Q5" s="143">
        <f t="shared" si="0"/>
        <v>0</v>
      </c>
      <c r="R5" s="681">
        <f t="shared" si="0"/>
        <v>0</v>
      </c>
      <c r="S5" s="143">
        <f t="shared" si="0"/>
        <v>0</v>
      </c>
      <c r="T5" s="681">
        <f t="shared" si="0"/>
        <v>0</v>
      </c>
      <c r="U5" s="143">
        <f t="shared" si="0"/>
        <v>0</v>
      </c>
      <c r="V5" s="681">
        <f t="shared" si="0"/>
        <v>0</v>
      </c>
      <c r="W5" s="143">
        <f t="shared" si="0"/>
        <v>0</v>
      </c>
      <c r="X5" s="681">
        <f t="shared" si="0"/>
        <v>0</v>
      </c>
    </row>
    <row r="6" spans="1:27" x14ac:dyDescent="0.2">
      <c r="A6" s="270"/>
      <c r="B6" s="23"/>
      <c r="C6" s="642"/>
      <c r="D6" s="23"/>
      <c r="G6" s="678"/>
      <c r="H6" s="796"/>
      <c r="I6" s="104"/>
      <c r="J6" s="102"/>
      <c r="K6" s="426"/>
      <c r="L6" s="156"/>
      <c r="M6" s="105"/>
      <c r="N6" s="680"/>
      <c r="O6" s="106"/>
      <c r="P6" s="680"/>
      <c r="Q6" s="106"/>
      <c r="R6" s="680"/>
      <c r="S6" s="106"/>
      <c r="T6" s="680"/>
      <c r="U6" s="106"/>
      <c r="V6" s="680"/>
      <c r="W6" s="106"/>
      <c r="X6" s="680"/>
    </row>
    <row r="7" spans="1:27" s="252" customFormat="1" x14ac:dyDescent="0.2">
      <c r="A7" s="271" t="s">
        <v>298</v>
      </c>
      <c r="B7" s="643">
        <f>'Membership Record'!G10</f>
        <v>0</v>
      </c>
      <c r="C7" s="644">
        <f>'Membership Record'!P10</f>
        <v>0</v>
      </c>
      <c r="D7" s="645">
        <f>SUM(B7:C7)</f>
        <v>0</v>
      </c>
      <c r="E7" s="249"/>
      <c r="F7" s="248">
        <f>SUM(M7:R7)</f>
        <v>0</v>
      </c>
      <c r="G7" s="644">
        <f>SUM(S7:X7)</f>
        <v>0</v>
      </c>
      <c r="H7" s="643">
        <f>SUM(F7:G7)</f>
        <v>0</v>
      </c>
      <c r="I7" s="249"/>
      <c r="J7" s="248">
        <f>F7-B7</f>
        <v>0</v>
      </c>
      <c r="K7" s="644">
        <f>G7-B7</f>
        <v>0</v>
      </c>
      <c r="L7" s="643">
        <f>SUM(J7:K7)</f>
        <v>0</v>
      </c>
      <c r="M7" s="250">
        <f>'Accounts Receivable-Collections'!P9</f>
        <v>0</v>
      </c>
      <c r="N7" s="682">
        <f>'Accounts Receivable-Collections'!V9</f>
        <v>0</v>
      </c>
      <c r="O7" s="251">
        <f>'Accounts Receivable-Collections'!AB9</f>
        <v>0</v>
      </c>
      <c r="P7" s="682">
        <f>'Accounts Receivable-Collections'!AH9</f>
        <v>0</v>
      </c>
      <c r="Q7" s="251">
        <f>'Accounts Receivable-Collections'!AN9</f>
        <v>0</v>
      </c>
      <c r="R7" s="682">
        <f>'Accounts Receivable-Collections'!AT9</f>
        <v>0</v>
      </c>
      <c r="S7" s="251">
        <f>'Accounts Receivable-Collections'!AZ9</f>
        <v>0</v>
      </c>
      <c r="T7" s="682">
        <f>'Accounts Receivable-Collections'!BF9</f>
        <v>0</v>
      </c>
      <c r="U7" s="251">
        <f>'Accounts Receivable-Collections'!BL9</f>
        <v>0</v>
      </c>
      <c r="V7" s="682">
        <f>'Accounts Receivable-Collections'!BR9</f>
        <v>0</v>
      </c>
      <c r="W7" s="251">
        <f>'Accounts Receivable-Collections'!BX9</f>
        <v>0</v>
      </c>
      <c r="X7" s="682">
        <f>'Accounts Receivable-Collections'!CD9</f>
        <v>0</v>
      </c>
    </row>
    <row r="8" spans="1:27" s="125" customFormat="1" x14ac:dyDescent="0.2">
      <c r="A8" s="272" t="s">
        <v>39</v>
      </c>
      <c r="B8" s="646">
        <f>SUM(B7:B7)</f>
        <v>0</v>
      </c>
      <c r="C8" s="647">
        <f>SUM(C7:C7)</f>
        <v>0</v>
      </c>
      <c r="D8" s="648">
        <f>SUM(B8:C8)</f>
        <v>0</v>
      </c>
      <c r="E8" s="245"/>
      <c r="F8" s="244">
        <f>SUM(F7:F7)</f>
        <v>0</v>
      </c>
      <c r="G8" s="647">
        <f>SUM(G7:G7)</f>
        <v>0</v>
      </c>
      <c r="H8" s="648">
        <f>SUM(F8:G8)</f>
        <v>0</v>
      </c>
      <c r="I8" s="245"/>
      <c r="J8" s="244">
        <f>SUM(J7:J7)</f>
        <v>0</v>
      </c>
      <c r="K8" s="647">
        <f>SUM(K7:K7)</f>
        <v>0</v>
      </c>
      <c r="L8" s="648">
        <f>SUM(J8:K8)</f>
        <v>0</v>
      </c>
      <c r="M8" s="246"/>
      <c r="N8" s="683"/>
      <c r="O8" s="247"/>
      <c r="P8" s="683"/>
      <c r="Q8" s="247"/>
      <c r="R8" s="683"/>
      <c r="S8" s="247"/>
      <c r="T8" s="683"/>
      <c r="U8" s="247"/>
      <c r="V8" s="683"/>
      <c r="W8" s="247"/>
      <c r="X8" s="683"/>
    </row>
    <row r="9" spans="1:27" ht="15" x14ac:dyDescent="0.35">
      <c r="A9" s="271" t="s">
        <v>206</v>
      </c>
      <c r="B9" s="649">
        <f>-(B8*0.1)</f>
        <v>0</v>
      </c>
      <c r="C9" s="650">
        <f t="shared" ref="C9" si="1">-(C8*0.1)</f>
        <v>0</v>
      </c>
      <c r="D9" s="649">
        <f>-(D8*0.1)</f>
        <v>0</v>
      </c>
      <c r="E9" s="113"/>
      <c r="G9" s="426"/>
      <c r="H9" s="156"/>
      <c r="J9" s="114"/>
      <c r="K9" s="793"/>
      <c r="L9" s="156"/>
      <c r="M9" s="105"/>
      <c r="N9" s="680"/>
      <c r="O9" s="106"/>
      <c r="P9" s="680"/>
      <c r="Q9" s="106"/>
      <c r="R9" s="680"/>
      <c r="S9" s="106"/>
      <c r="T9" s="680"/>
      <c r="U9" s="106"/>
      <c r="V9" s="680"/>
      <c r="W9" s="106"/>
      <c r="X9" s="680"/>
    </row>
    <row r="10" spans="1:27" ht="15.75" x14ac:dyDescent="0.4">
      <c r="A10" s="273" t="s">
        <v>41</v>
      </c>
      <c r="B10" s="651">
        <f>B8+B9</f>
        <v>0</v>
      </c>
      <c r="C10" s="652">
        <f t="shared" ref="C10" si="2">C8+C9</f>
        <v>0</v>
      </c>
      <c r="D10" s="651">
        <f>D8+D9</f>
        <v>0</v>
      </c>
      <c r="F10" s="108">
        <f>SUM(M10:R10)</f>
        <v>0</v>
      </c>
      <c r="G10" s="652">
        <f>SUM(S10:X10)</f>
        <v>0</v>
      </c>
      <c r="H10" s="651">
        <f>SUM(F10:G10)</f>
        <v>0</v>
      </c>
      <c r="J10" s="108">
        <f>F10-B10</f>
        <v>0</v>
      </c>
      <c r="K10" s="652">
        <f>G10-C10</f>
        <v>0</v>
      </c>
      <c r="L10" s="651">
        <f>SUM(J10:K10)</f>
        <v>0</v>
      </c>
      <c r="M10" s="111">
        <f t="shared" ref="M10:X10" si="3">SUM(M7:M7)</f>
        <v>0</v>
      </c>
      <c r="N10" s="684">
        <f t="shared" si="3"/>
        <v>0</v>
      </c>
      <c r="O10" s="112">
        <f t="shared" si="3"/>
        <v>0</v>
      </c>
      <c r="P10" s="684">
        <f t="shared" si="3"/>
        <v>0</v>
      </c>
      <c r="Q10" s="112">
        <f t="shared" si="3"/>
        <v>0</v>
      </c>
      <c r="R10" s="684">
        <f t="shared" si="3"/>
        <v>0</v>
      </c>
      <c r="S10" s="112">
        <f t="shared" si="3"/>
        <v>0</v>
      </c>
      <c r="T10" s="684">
        <f t="shared" si="3"/>
        <v>0</v>
      </c>
      <c r="U10" s="112">
        <f t="shared" si="3"/>
        <v>0</v>
      </c>
      <c r="V10" s="684">
        <f t="shared" si="3"/>
        <v>0</v>
      </c>
      <c r="W10" s="112">
        <f t="shared" si="3"/>
        <v>0</v>
      </c>
      <c r="X10" s="684">
        <f t="shared" si="3"/>
        <v>0</v>
      </c>
      <c r="Y10" s="51"/>
    </row>
    <row r="11" spans="1:27" x14ac:dyDescent="0.2">
      <c r="A11" s="274"/>
      <c r="B11" s="444"/>
      <c r="C11" s="653"/>
      <c r="D11" s="166"/>
      <c r="G11" s="426"/>
      <c r="H11" s="444"/>
      <c r="I11" s="115"/>
      <c r="J11" s="14"/>
      <c r="K11" s="426"/>
      <c r="L11" s="156"/>
      <c r="M11" s="105"/>
      <c r="N11" s="680"/>
      <c r="O11" s="106"/>
      <c r="P11" s="680"/>
      <c r="Q11" s="106"/>
      <c r="R11" s="680"/>
      <c r="S11" s="106"/>
      <c r="T11" s="680"/>
      <c r="U11" s="106"/>
      <c r="V11" s="680"/>
      <c r="W11" s="106"/>
      <c r="X11" s="680"/>
    </row>
    <row r="12" spans="1:27" x14ac:dyDescent="0.2">
      <c r="A12" s="274" t="s">
        <v>207</v>
      </c>
      <c r="B12" s="443">
        <f>'Membership Record'!I10</f>
        <v>0</v>
      </c>
      <c r="C12" s="653">
        <f>'Membership Record'!R10</f>
        <v>0</v>
      </c>
      <c r="D12" s="166">
        <f>SUM(B12:C12)</f>
        <v>0</v>
      </c>
      <c r="F12" s="14">
        <f>SUM(M12:R12)</f>
        <v>0</v>
      </c>
      <c r="G12" s="793">
        <f>SUM(S12:X12)</f>
        <v>0</v>
      </c>
      <c r="H12" s="443">
        <f>SUM(F12:G12)</f>
        <v>0</v>
      </c>
      <c r="I12" s="115"/>
      <c r="J12" s="14">
        <f>F12-B12</f>
        <v>0</v>
      </c>
      <c r="K12" s="793">
        <f>G12-C12</f>
        <v>0</v>
      </c>
      <c r="L12" s="166">
        <f>SUM(J12:K12)</f>
        <v>0</v>
      </c>
      <c r="M12" s="105">
        <f>'Accounts Receivable-Collections'!Q9</f>
        <v>0</v>
      </c>
      <c r="N12" s="680">
        <f>'Accounts Receivable-Collections'!W9</f>
        <v>0</v>
      </c>
      <c r="O12" s="106">
        <f>'Accounts Receivable-Collections'!AC9</f>
        <v>0</v>
      </c>
      <c r="P12" s="680">
        <f>'Accounts Receivable-Collections'!AI9</f>
        <v>0</v>
      </c>
      <c r="Q12" s="106">
        <f>'Accounts Receivable-Collections'!AO9</f>
        <v>0</v>
      </c>
      <c r="R12" s="680">
        <f>'Accounts Receivable-Collections'!AU9</f>
        <v>0</v>
      </c>
      <c r="S12" s="106">
        <f>'Accounts Receivable-Collections'!BA9</f>
        <v>0</v>
      </c>
      <c r="T12" s="680">
        <f>'Accounts Receivable-Collections'!BG9</f>
        <v>0</v>
      </c>
      <c r="U12" s="106">
        <f>'Accounts Receivable-Collections'!BM9</f>
        <v>0</v>
      </c>
      <c r="V12" s="680">
        <f>'Accounts Receivable-Collections'!BS9</f>
        <v>0</v>
      </c>
      <c r="W12" s="106">
        <f>'Accounts Receivable-Collections'!BY9</f>
        <v>0</v>
      </c>
      <c r="X12" s="680">
        <f>'Accounts Receivable-Collections'!CE9</f>
        <v>0</v>
      </c>
    </row>
    <row r="13" spans="1:27" ht="15" x14ac:dyDescent="0.35">
      <c r="A13" s="274" t="s">
        <v>208</v>
      </c>
      <c r="B13" s="654">
        <f>-(B12*0.5)</f>
        <v>0</v>
      </c>
      <c r="C13" s="655">
        <f t="shared" ref="C13:D13" si="4">-(C12*0.5)</f>
        <v>0</v>
      </c>
      <c r="D13" s="654">
        <f t="shared" si="4"/>
        <v>0</v>
      </c>
      <c r="G13" s="426"/>
      <c r="H13" s="444"/>
      <c r="I13" s="115"/>
      <c r="J13" s="14"/>
      <c r="K13" s="426"/>
      <c r="L13" s="156"/>
      <c r="M13" s="105"/>
      <c r="N13" s="680"/>
      <c r="O13" s="106"/>
      <c r="P13" s="680"/>
      <c r="Q13" s="106"/>
      <c r="R13" s="680"/>
      <c r="S13" s="106"/>
      <c r="T13" s="680"/>
      <c r="U13" s="106"/>
      <c r="V13" s="680"/>
      <c r="W13" s="106"/>
      <c r="X13" s="680"/>
    </row>
    <row r="14" spans="1:27" ht="15.75" x14ac:dyDescent="0.4">
      <c r="A14" s="273" t="s">
        <v>42</v>
      </c>
      <c r="B14" s="651">
        <f>B12+B13</f>
        <v>0</v>
      </c>
      <c r="C14" s="652">
        <f t="shared" ref="C14:D14" si="5">C12+C13</f>
        <v>0</v>
      </c>
      <c r="D14" s="651">
        <f t="shared" si="5"/>
        <v>0</v>
      </c>
      <c r="F14" s="108">
        <f>F12</f>
        <v>0</v>
      </c>
      <c r="G14" s="652">
        <f>G12</f>
        <v>0</v>
      </c>
      <c r="H14" s="651">
        <f>SUM(F14:G14)</f>
        <v>0</v>
      </c>
      <c r="J14" s="108">
        <f t="shared" ref="J14:K14" si="6">F14-B14</f>
        <v>0</v>
      </c>
      <c r="K14" s="652">
        <f t="shared" si="6"/>
        <v>0</v>
      </c>
      <c r="L14" s="651">
        <f>SUM(J14:K14)</f>
        <v>0</v>
      </c>
      <c r="M14" s="116">
        <f>M12</f>
        <v>0</v>
      </c>
      <c r="N14" s="685">
        <f t="shared" ref="N14:X14" si="7">N12</f>
        <v>0</v>
      </c>
      <c r="O14" s="117">
        <f t="shared" si="7"/>
        <v>0</v>
      </c>
      <c r="P14" s="685">
        <f t="shared" si="7"/>
        <v>0</v>
      </c>
      <c r="Q14" s="117">
        <f t="shared" si="7"/>
        <v>0</v>
      </c>
      <c r="R14" s="685">
        <f t="shared" si="7"/>
        <v>0</v>
      </c>
      <c r="S14" s="117">
        <f t="shared" si="7"/>
        <v>0</v>
      </c>
      <c r="T14" s="685">
        <f t="shared" si="7"/>
        <v>0</v>
      </c>
      <c r="U14" s="117">
        <f t="shared" si="7"/>
        <v>0</v>
      </c>
      <c r="V14" s="685">
        <f t="shared" si="7"/>
        <v>0</v>
      </c>
      <c r="W14" s="117">
        <f t="shared" si="7"/>
        <v>0</v>
      </c>
      <c r="X14" s="685">
        <f t="shared" si="7"/>
        <v>0</v>
      </c>
    </row>
    <row r="15" spans="1:27" x14ac:dyDescent="0.2">
      <c r="A15" s="274"/>
      <c r="B15" s="156"/>
      <c r="C15" s="426"/>
      <c r="D15" s="156"/>
      <c r="G15" s="426"/>
      <c r="H15" s="156"/>
      <c r="K15" s="426"/>
      <c r="L15" s="156"/>
      <c r="M15" s="105"/>
      <c r="N15" s="680"/>
      <c r="O15" s="106"/>
      <c r="P15" s="680"/>
      <c r="Q15" s="106"/>
      <c r="R15" s="680"/>
      <c r="S15" s="106"/>
      <c r="T15" s="680"/>
      <c r="U15" s="106"/>
      <c r="V15" s="680"/>
      <c r="W15" s="106"/>
      <c r="X15" s="680"/>
    </row>
    <row r="16" spans="1:27" x14ac:dyDescent="0.2">
      <c r="A16" s="274" t="s">
        <v>209</v>
      </c>
      <c r="B16" s="656"/>
      <c r="C16" s="656">
        <v>0</v>
      </c>
      <c r="D16" s="166">
        <f>SUM(B16:C16)</f>
        <v>0</v>
      </c>
      <c r="F16" s="14">
        <f>SUM(M16:R16)</f>
        <v>0</v>
      </c>
      <c r="G16" s="793">
        <f>SUM(S16:X16)</f>
        <v>0</v>
      </c>
      <c r="H16" s="166">
        <f>SUM(F16:G16)</f>
        <v>0</v>
      </c>
      <c r="J16" s="14">
        <f>F16-B16</f>
        <v>0</v>
      </c>
      <c r="K16" s="793">
        <f>G16-C16</f>
        <v>0</v>
      </c>
      <c r="L16" s="166">
        <f>SUM(J16:K16)</f>
        <v>0</v>
      </c>
      <c r="M16" s="105">
        <f>'Accounts Receivable-Collections'!S3</f>
        <v>0</v>
      </c>
      <c r="N16" s="680">
        <f>'Accounts Receivable-Collections'!Y3</f>
        <v>0</v>
      </c>
      <c r="O16" s="106">
        <f>'Accounts Receivable-Collections'!AE3</f>
        <v>0</v>
      </c>
      <c r="P16" s="680">
        <f>'Accounts Receivable-Collections'!AK3</f>
        <v>0</v>
      </c>
      <c r="Q16" s="106">
        <f>'Accounts Receivable-Collections'!AQ3</f>
        <v>0</v>
      </c>
      <c r="R16" s="680">
        <f>'Accounts Receivable-Collections'!AW3</f>
        <v>0</v>
      </c>
      <c r="S16" s="106">
        <f>'Accounts Receivable-Collections'!BC3</f>
        <v>0</v>
      </c>
      <c r="T16" s="680">
        <f>'Accounts Receivable-Collections'!BI3</f>
        <v>0</v>
      </c>
      <c r="U16" s="106">
        <f>'Accounts Receivable-Collections'!BO3</f>
        <v>0</v>
      </c>
      <c r="V16" s="680">
        <f>'Accounts Receivable-Collections'!BU3</f>
        <v>0</v>
      </c>
      <c r="W16" s="106">
        <f>'Accounts Receivable-Collections'!CA3</f>
        <v>0</v>
      </c>
      <c r="X16" s="680">
        <f>'Accounts Receivable-Collections'!CG3</f>
        <v>0</v>
      </c>
    </row>
    <row r="17" spans="1:24" ht="15" x14ac:dyDescent="0.35">
      <c r="A17" s="274" t="s">
        <v>210</v>
      </c>
      <c r="B17" s="649">
        <f>-(B16*0.2)</f>
        <v>0</v>
      </c>
      <c r="C17" s="650">
        <f>-(C16*0.2)</f>
        <v>0</v>
      </c>
      <c r="D17" s="649">
        <f>SUM(B17:C17)</f>
        <v>0</v>
      </c>
      <c r="G17" s="426"/>
      <c r="H17" s="156"/>
      <c r="K17" s="426"/>
      <c r="L17" s="156"/>
      <c r="M17" s="105"/>
      <c r="N17" s="680"/>
      <c r="O17" s="106"/>
      <c r="P17" s="680"/>
      <c r="Q17" s="106"/>
      <c r="R17" s="680"/>
      <c r="S17" s="106"/>
      <c r="T17" s="680"/>
      <c r="U17" s="106"/>
      <c r="V17" s="680"/>
      <c r="W17" s="106"/>
      <c r="X17" s="680"/>
    </row>
    <row r="18" spans="1:24" ht="15.75" x14ac:dyDescent="0.4">
      <c r="A18" s="273" t="s">
        <v>43</v>
      </c>
      <c r="B18" s="651">
        <f>B16+B17</f>
        <v>0</v>
      </c>
      <c r="C18" s="652">
        <f>C16+C17</f>
        <v>0</v>
      </c>
      <c r="D18" s="651">
        <f>D16+D17</f>
        <v>0</v>
      </c>
      <c r="F18" s="108">
        <f>F16</f>
        <v>0</v>
      </c>
      <c r="G18" s="652">
        <f>G16</f>
        <v>0</v>
      </c>
      <c r="H18" s="651">
        <f>SUM(F18:G18)</f>
        <v>0</v>
      </c>
      <c r="J18" s="108">
        <f t="shared" ref="J18:L18" si="8">F18-B18</f>
        <v>0</v>
      </c>
      <c r="K18" s="652">
        <f t="shared" si="8"/>
        <v>0</v>
      </c>
      <c r="L18" s="651">
        <f t="shared" si="8"/>
        <v>0</v>
      </c>
      <c r="M18" s="118">
        <f>'Accounts Receivable-Collections'!S3</f>
        <v>0</v>
      </c>
      <c r="N18" s="685">
        <f>'Accounts Receivable-Collections'!Y3</f>
        <v>0</v>
      </c>
      <c r="O18" s="117">
        <f>'Accounts Receivable-Collections'!AE3</f>
        <v>0</v>
      </c>
      <c r="P18" s="685">
        <f>'Accounts Receivable-Collections'!AK3</f>
        <v>0</v>
      </c>
      <c r="Q18" s="117">
        <f>'Accounts Receivable-Collections'!AQ3</f>
        <v>0</v>
      </c>
      <c r="R18" s="685">
        <f>'Accounts Receivable-Collections'!AW3</f>
        <v>0</v>
      </c>
      <c r="S18" s="117">
        <f>'Accounts Receivable-Collections'!BC3</f>
        <v>0</v>
      </c>
      <c r="T18" s="685">
        <f>'Accounts Receivable-Collections'!BI3</f>
        <v>0</v>
      </c>
      <c r="U18" s="117">
        <f>'Accounts Receivable-Collections'!BO3</f>
        <v>0</v>
      </c>
      <c r="V18" s="685">
        <f>'Accounts Receivable-Collections'!BU3</f>
        <v>0</v>
      </c>
      <c r="W18" s="117">
        <f>'Accounts Receivable-Collections'!CA3</f>
        <v>0</v>
      </c>
      <c r="X18" s="685">
        <f>'Accounts Receivable-Collections'!CG3</f>
        <v>0</v>
      </c>
    </row>
    <row r="19" spans="1:24" x14ac:dyDescent="0.2">
      <c r="A19" s="274"/>
      <c r="C19" s="119"/>
      <c r="G19" s="119"/>
      <c r="K19" s="119"/>
      <c r="M19" s="105"/>
      <c r="N19" s="680"/>
      <c r="O19" s="106"/>
      <c r="P19" s="680"/>
      <c r="Q19" s="106"/>
      <c r="R19" s="680"/>
      <c r="S19" s="106"/>
      <c r="T19" s="680"/>
      <c r="U19" s="106"/>
      <c r="V19" s="680"/>
      <c r="W19" s="106"/>
      <c r="X19" s="680"/>
    </row>
    <row r="20" spans="1:24" s="252" customFormat="1" ht="31.5" x14ac:dyDescent="0.25">
      <c r="A20" s="232" t="s">
        <v>290</v>
      </c>
      <c r="B20" s="131">
        <f>B5+B10+B14+B18</f>
        <v>0</v>
      </c>
      <c r="C20" s="132">
        <f>C5+C10+C14+C18</f>
        <v>0</v>
      </c>
      <c r="D20" s="131">
        <f>SUM(B20:C20)</f>
        <v>0</v>
      </c>
      <c r="E20" s="249"/>
      <c r="F20" s="131">
        <f>F5+F10+F14+F18</f>
        <v>0</v>
      </c>
      <c r="G20" s="132">
        <f>G5+G10+G14+G18</f>
        <v>0</v>
      </c>
      <c r="H20" s="131">
        <f>SUM(F20:G20)</f>
        <v>0</v>
      </c>
      <c r="I20" s="249"/>
      <c r="J20" s="131">
        <f t="shared" ref="J20:L20" si="9">F20-B20</f>
        <v>0</v>
      </c>
      <c r="K20" s="132">
        <f t="shared" si="9"/>
        <v>0</v>
      </c>
      <c r="L20" s="131">
        <f t="shared" si="9"/>
        <v>0</v>
      </c>
      <c r="M20" s="282">
        <f t="shared" ref="M20:X20" si="10">M5+M10+M14+M18</f>
        <v>0</v>
      </c>
      <c r="N20" s="686">
        <f t="shared" si="10"/>
        <v>0</v>
      </c>
      <c r="O20" s="136">
        <f t="shared" si="10"/>
        <v>0</v>
      </c>
      <c r="P20" s="687">
        <f t="shared" si="10"/>
        <v>0</v>
      </c>
      <c r="Q20" s="136">
        <f t="shared" si="10"/>
        <v>0</v>
      </c>
      <c r="R20" s="687">
        <f t="shared" si="10"/>
        <v>0</v>
      </c>
      <c r="S20" s="136">
        <f t="shared" si="10"/>
        <v>0</v>
      </c>
      <c r="T20" s="687">
        <f t="shared" si="10"/>
        <v>0</v>
      </c>
      <c r="U20" s="136">
        <f t="shared" si="10"/>
        <v>0</v>
      </c>
      <c r="V20" s="687">
        <f t="shared" si="10"/>
        <v>0</v>
      </c>
      <c r="W20" s="136">
        <f t="shared" si="10"/>
        <v>0</v>
      </c>
      <c r="X20" s="687">
        <f t="shared" si="10"/>
        <v>0</v>
      </c>
    </row>
    <row r="21" spans="1:24" s="252" customFormat="1" ht="15.75" x14ac:dyDescent="0.25">
      <c r="A21" s="638"/>
      <c r="B21" s="131"/>
      <c r="C21" s="132"/>
      <c r="D21" s="131"/>
      <c r="E21" s="249"/>
      <c r="F21" s="131"/>
      <c r="G21" s="132"/>
      <c r="H21" s="131"/>
      <c r="I21" s="249"/>
      <c r="J21" s="131"/>
      <c r="K21" s="132"/>
      <c r="L21" s="131"/>
      <c r="M21" s="282"/>
      <c r="N21" s="687"/>
      <c r="O21" s="136"/>
      <c r="P21" s="687"/>
      <c r="Q21" s="136"/>
      <c r="R21" s="687"/>
      <c r="S21" s="136"/>
      <c r="T21" s="687"/>
      <c r="U21" s="136"/>
      <c r="V21" s="687"/>
      <c r="W21" s="136"/>
      <c r="X21" s="687"/>
    </row>
    <row r="22" spans="1:24" s="120" customFormat="1" ht="13.5" customHeight="1" x14ac:dyDescent="0.4">
      <c r="A22" s="1071" t="s">
        <v>169</v>
      </c>
      <c r="B22" s="660"/>
      <c r="C22" s="1066"/>
      <c r="D22" s="661"/>
      <c r="E22" s="662"/>
      <c r="F22" s="660"/>
      <c r="G22" s="663"/>
      <c r="H22" s="660"/>
      <c r="I22" s="662"/>
      <c r="J22" s="661"/>
      <c r="K22" s="664"/>
      <c r="L22" s="660"/>
      <c r="M22" s="665"/>
      <c r="N22" s="688"/>
      <c r="O22" s="666"/>
      <c r="P22" s="688"/>
      <c r="Q22" s="666"/>
      <c r="R22" s="688"/>
      <c r="S22" s="666"/>
      <c r="T22" s="688"/>
      <c r="U22" s="666"/>
      <c r="V22" s="688"/>
      <c r="W22" s="666"/>
      <c r="X22" s="688"/>
    </row>
    <row r="23" spans="1:24" s="120" customFormat="1" ht="17.25" customHeight="1" x14ac:dyDescent="0.4">
      <c r="A23" s="1072"/>
      <c r="B23" s="657"/>
      <c r="C23" s="1067"/>
      <c r="D23" s="658"/>
      <c r="E23" s="298"/>
      <c r="F23" s="657"/>
      <c r="G23" s="667"/>
      <c r="H23" s="657"/>
      <c r="I23" s="298"/>
      <c r="J23" s="658"/>
      <c r="K23" s="668"/>
      <c r="L23" s="657"/>
      <c r="M23" s="669"/>
      <c r="N23" s="689"/>
      <c r="O23" s="123"/>
      <c r="P23" s="689"/>
      <c r="Q23" s="123"/>
      <c r="R23" s="689"/>
      <c r="S23" s="123"/>
      <c r="T23" s="689"/>
      <c r="U23" s="123"/>
      <c r="V23" s="689"/>
      <c r="W23" s="123"/>
      <c r="X23" s="689"/>
    </row>
    <row r="24" spans="1:24" s="107" customFormat="1" ht="15.75" x14ac:dyDescent="0.4">
      <c r="A24" s="267" t="s">
        <v>294</v>
      </c>
      <c r="B24" s="639">
        <v>0</v>
      </c>
      <c r="C24" s="640">
        <f>IF(C22="",0,IF(C22="Budgeted fall surplus/(deficit)",B145,IF(C22="Actual fall surplus/(deficit)",F145,0)))</f>
        <v>0</v>
      </c>
      <c r="D24" s="659"/>
      <c r="E24" s="238"/>
      <c r="F24" s="255">
        <f>B24</f>
        <v>0</v>
      </c>
      <c r="G24" s="256">
        <f>F145</f>
        <v>0</v>
      </c>
      <c r="I24" s="238"/>
      <c r="J24" s="237"/>
      <c r="K24" s="236"/>
      <c r="M24" s="105"/>
      <c r="N24" s="680"/>
      <c r="O24" s="106"/>
      <c r="P24" s="680"/>
      <c r="Q24" s="106"/>
      <c r="R24" s="680"/>
      <c r="S24" s="106"/>
      <c r="T24" s="680"/>
      <c r="U24" s="106"/>
      <c r="V24" s="680"/>
      <c r="W24" s="106"/>
      <c r="X24" s="680"/>
    </row>
    <row r="25" spans="1:24" s="107" customFormat="1" ht="15" x14ac:dyDescent="0.35">
      <c r="A25" s="265"/>
      <c r="C25" s="236"/>
      <c r="D25" s="237"/>
      <c r="E25" s="238"/>
      <c r="G25" s="239"/>
      <c r="I25" s="238"/>
      <c r="J25" s="237"/>
      <c r="K25" s="236"/>
      <c r="M25" s="105"/>
      <c r="N25" s="680"/>
      <c r="O25" s="106"/>
      <c r="P25" s="680"/>
      <c r="Q25" s="106"/>
      <c r="R25" s="680"/>
      <c r="S25" s="106"/>
      <c r="T25" s="680"/>
      <c r="U25" s="106"/>
      <c r="V25" s="680"/>
      <c r="W25" s="106"/>
      <c r="X25" s="680"/>
    </row>
    <row r="26" spans="1:24" s="107" customFormat="1" x14ac:dyDescent="0.2">
      <c r="A26" s="265" t="s">
        <v>313</v>
      </c>
      <c r="B26" s="86">
        <f>'Membership Record'!J10</f>
        <v>0</v>
      </c>
      <c r="C26" s="240">
        <f>'Membership Record'!S10</f>
        <v>0</v>
      </c>
      <c r="D26" s="86">
        <f>SUM(B26:C26)</f>
        <v>0</v>
      </c>
      <c r="E26" s="238"/>
      <c r="F26" s="86">
        <f>SUM(M26:R26)</f>
        <v>0</v>
      </c>
      <c r="G26" s="240">
        <f>SUM(S26:X26)</f>
        <v>0</v>
      </c>
      <c r="H26" s="86">
        <f>SUM(F26:G26)</f>
        <v>0</v>
      </c>
      <c r="I26" s="238"/>
      <c r="J26" s="86">
        <f>F26-B26</f>
        <v>0</v>
      </c>
      <c r="K26" s="240">
        <f>G26-C26</f>
        <v>0</v>
      </c>
      <c r="L26" s="86">
        <f>SUM(J26:K26)</f>
        <v>0</v>
      </c>
      <c r="M26" s="105">
        <f>'Accounts Receivable-Collections'!S9</f>
        <v>0</v>
      </c>
      <c r="N26" s="680">
        <f>'Accounts Receivable-Collections'!Y9</f>
        <v>0</v>
      </c>
      <c r="O26" s="106">
        <f>'Accounts Receivable-Collections'!AE9</f>
        <v>0</v>
      </c>
      <c r="P26" s="680">
        <f>'Accounts Receivable-Collections'!AK9</f>
        <v>0</v>
      </c>
      <c r="Q26" s="106">
        <f>'Accounts Receivable-Collections'!AQ9</f>
        <v>0</v>
      </c>
      <c r="R26" s="680">
        <f>'Accounts Receivable-Collections'!AW9</f>
        <v>0</v>
      </c>
      <c r="S26" s="106">
        <f>'Accounts Receivable-Collections'!BC9</f>
        <v>0</v>
      </c>
      <c r="T26" s="680">
        <f>'Accounts Receivable-Collections'!BI9</f>
        <v>0</v>
      </c>
      <c r="U26" s="106">
        <f>'Accounts Receivable-Collections'!BO9</f>
        <v>0</v>
      </c>
      <c r="V26" s="680">
        <f>'Accounts Receivable-Collections'!BU9</f>
        <v>0</v>
      </c>
      <c r="W26" s="106">
        <f>'Accounts Receivable-Collections'!CA9</f>
        <v>0</v>
      </c>
      <c r="X26" s="680">
        <f>'Accounts Receivable-Collections'!CG9</f>
        <v>0</v>
      </c>
    </row>
    <row r="27" spans="1:24" s="107" customFormat="1" x14ac:dyDescent="0.2">
      <c r="A27" s="266" t="s">
        <v>314</v>
      </c>
      <c r="B27" s="86">
        <f>'Membership Record'!H10</f>
        <v>0</v>
      </c>
      <c r="C27" s="240">
        <f>'Membership Record'!Q10</f>
        <v>0</v>
      </c>
      <c r="D27" s="86">
        <f>SUM(B27:C27)</f>
        <v>0</v>
      </c>
      <c r="E27" s="238"/>
      <c r="F27" s="86">
        <f>SUM(M27:R27)</f>
        <v>0</v>
      </c>
      <c r="G27" s="240">
        <f t="shared" ref="G27:G28" si="11">SUM(S27:X27)</f>
        <v>0</v>
      </c>
      <c r="H27" s="86">
        <f t="shared" ref="H27:H28" si="12">SUM(F27:G27)</f>
        <v>0</v>
      </c>
      <c r="I27" s="238"/>
      <c r="J27" s="86">
        <f t="shared" ref="J27:J28" si="13">F27-B27</f>
        <v>0</v>
      </c>
      <c r="K27" s="240">
        <f t="shared" ref="K27:K28" si="14">G27-C27</f>
        <v>0</v>
      </c>
      <c r="L27" s="86">
        <f>SUM(J27:K27)</f>
        <v>0</v>
      </c>
      <c r="M27" s="105">
        <f>'Accounts Receivable-Collections'!R9</f>
        <v>0</v>
      </c>
      <c r="N27" s="680">
        <f>'Accounts Receivable-Collections'!X9</f>
        <v>0</v>
      </c>
      <c r="O27" s="106">
        <f>'Accounts Receivable-Collections'!AD9</f>
        <v>0</v>
      </c>
      <c r="P27" s="680">
        <f>'Accounts Receivable-Collections'!AJ9</f>
        <v>0</v>
      </c>
      <c r="Q27" s="106">
        <f>'Accounts Receivable-Collections'!AP9</f>
        <v>0</v>
      </c>
      <c r="R27" s="680">
        <f>'Accounts Receivable-Collections'!AV9</f>
        <v>0</v>
      </c>
      <c r="S27" s="106">
        <f>'Accounts Receivable-Collections'!BB9</f>
        <v>0</v>
      </c>
      <c r="T27" s="680">
        <f>'Accounts Receivable-Collections'!BH9</f>
        <v>0</v>
      </c>
      <c r="U27" s="106">
        <f>'Accounts Receivable-Collections'!BN9</f>
        <v>0</v>
      </c>
      <c r="V27" s="680">
        <f>'Accounts Receivable-Collections'!BT9</f>
        <v>0</v>
      </c>
      <c r="W27" s="106">
        <f>'Accounts Receivable-Collections'!BZ9</f>
        <v>0</v>
      </c>
      <c r="X27" s="680">
        <f>'Accounts Receivable-Collections'!CF9</f>
        <v>0</v>
      </c>
    </row>
    <row r="28" spans="1:24" s="286" customFormat="1" ht="15" x14ac:dyDescent="0.35">
      <c r="A28" s="265" t="s">
        <v>315</v>
      </c>
      <c r="B28" s="388">
        <f>'Membership Record'!K10</f>
        <v>0</v>
      </c>
      <c r="C28" s="389">
        <f>'Membership Record'!T10</f>
        <v>0</v>
      </c>
      <c r="D28" s="388">
        <f>SUM(B28:C28)</f>
        <v>0</v>
      </c>
      <c r="E28" s="285"/>
      <c r="F28" s="388">
        <f>SUM(M28:R28)</f>
        <v>0</v>
      </c>
      <c r="G28" s="389">
        <f t="shared" si="11"/>
        <v>0</v>
      </c>
      <c r="H28" s="388">
        <f t="shared" si="12"/>
        <v>0</v>
      </c>
      <c r="I28" s="285"/>
      <c r="J28" s="253">
        <f t="shared" si="13"/>
        <v>0</v>
      </c>
      <c r="K28" s="254">
        <f t="shared" si="14"/>
        <v>0</v>
      </c>
      <c r="L28" s="253">
        <f>SUM(J28:K28)</f>
        <v>0</v>
      </c>
      <c r="M28" s="250">
        <f>'Accounts Receivable-Collections'!T9</f>
        <v>0</v>
      </c>
      <c r="N28" s="682">
        <f>'Accounts Receivable-Collections'!Z9</f>
        <v>0</v>
      </c>
      <c r="O28" s="251">
        <f>'Accounts Receivable-Collections'!AF9</f>
        <v>0</v>
      </c>
      <c r="P28" s="682">
        <f>'Accounts Receivable-Collections'!AL9</f>
        <v>0</v>
      </c>
      <c r="Q28" s="251">
        <f>'Accounts Receivable-Collections'!AR9</f>
        <v>0</v>
      </c>
      <c r="R28" s="682">
        <f>'Accounts Receivable-Collections'!AX9</f>
        <v>0</v>
      </c>
      <c r="S28" s="251">
        <f>'Accounts Receivable-Collections'!BD9</f>
        <v>0</v>
      </c>
      <c r="T28" s="682">
        <f>'Accounts Receivable-Collections'!BJ9</f>
        <v>0</v>
      </c>
      <c r="U28" s="251">
        <f>'Accounts Receivable-Collections'!BP9</f>
        <v>0</v>
      </c>
      <c r="V28" s="682">
        <f>'Accounts Receivable-Collections'!BV9</f>
        <v>0</v>
      </c>
      <c r="W28" s="251">
        <f>'Accounts Receivable-Collections'!CB9</f>
        <v>0</v>
      </c>
      <c r="X28" s="682">
        <f>'Accounts Receivable-Collections'!CH9</f>
        <v>0</v>
      </c>
    </row>
    <row r="29" spans="1:24" s="107" customFormat="1" ht="15.75" x14ac:dyDescent="0.4">
      <c r="A29" s="267" t="s">
        <v>295</v>
      </c>
      <c r="B29" s="255">
        <f>SUM(B26:B28)</f>
        <v>0</v>
      </c>
      <c r="C29" s="256">
        <f>SUM(C26:C28)</f>
        <v>0</v>
      </c>
      <c r="D29" s="255">
        <f>SUM(D26:D28)</f>
        <v>0</v>
      </c>
      <c r="E29" s="238"/>
      <c r="F29" s="255">
        <f>SUM(F26:F28)</f>
        <v>0</v>
      </c>
      <c r="G29" s="256">
        <f>SUM(G26:G28)</f>
        <v>0</v>
      </c>
      <c r="H29" s="255">
        <f>SUM(F29:G29)</f>
        <v>0</v>
      </c>
      <c r="I29" s="238"/>
      <c r="J29" s="255">
        <f t="shared" ref="J29:X29" si="15">SUM(J26:J28)</f>
        <v>0</v>
      </c>
      <c r="K29" s="256">
        <f t="shared" si="15"/>
        <v>0</v>
      </c>
      <c r="L29" s="255">
        <f>SUM(J29:K29)</f>
        <v>0</v>
      </c>
      <c r="M29" s="256">
        <f t="shared" si="15"/>
        <v>0</v>
      </c>
      <c r="N29" s="690">
        <f t="shared" si="15"/>
        <v>0</v>
      </c>
      <c r="O29" s="635">
        <f t="shared" si="15"/>
        <v>0</v>
      </c>
      <c r="P29" s="690">
        <f t="shared" si="15"/>
        <v>0</v>
      </c>
      <c r="Q29" s="635">
        <f t="shared" si="15"/>
        <v>0</v>
      </c>
      <c r="R29" s="690">
        <f t="shared" si="15"/>
        <v>0</v>
      </c>
      <c r="S29" s="635">
        <f t="shared" si="15"/>
        <v>0</v>
      </c>
      <c r="T29" s="690">
        <f t="shared" si="15"/>
        <v>0</v>
      </c>
      <c r="U29" s="635">
        <f t="shared" si="15"/>
        <v>0</v>
      </c>
      <c r="V29" s="690">
        <f t="shared" si="15"/>
        <v>0</v>
      </c>
      <c r="W29" s="635">
        <f t="shared" si="15"/>
        <v>0</v>
      </c>
      <c r="X29" s="708">
        <f t="shared" si="15"/>
        <v>0</v>
      </c>
    </row>
    <row r="30" spans="1:24" s="107" customFormat="1" ht="15" x14ac:dyDescent="0.35">
      <c r="A30" s="265"/>
      <c r="B30" s="86"/>
      <c r="C30" s="240"/>
      <c r="D30" s="237"/>
      <c r="E30" s="238"/>
      <c r="G30" s="239"/>
      <c r="I30" s="238"/>
      <c r="J30" s="237"/>
      <c r="K30" s="236"/>
      <c r="M30" s="105"/>
      <c r="N30" s="680"/>
      <c r="O30" s="106"/>
      <c r="P30" s="680"/>
      <c r="Q30" s="106"/>
      <c r="R30" s="680"/>
      <c r="S30" s="106"/>
      <c r="T30" s="680"/>
      <c r="U30" s="106"/>
      <c r="V30" s="680"/>
      <c r="W30" s="106"/>
      <c r="X30" s="680"/>
    </row>
    <row r="31" spans="1:24" s="107" customFormat="1" ht="15.75" x14ac:dyDescent="0.4">
      <c r="A31" s="267" t="s">
        <v>312</v>
      </c>
      <c r="B31" s="255">
        <f>'House-Kitchen Budget Worksheet'!H53</f>
        <v>0</v>
      </c>
      <c r="C31" s="256">
        <f>'House-Kitchen Budget Worksheet'!H54</f>
        <v>0</v>
      </c>
      <c r="D31" s="255">
        <f>SUM(B31:C31)</f>
        <v>0</v>
      </c>
      <c r="E31" s="238"/>
      <c r="F31" s="255">
        <f>SUM(M31:R31)</f>
        <v>0</v>
      </c>
      <c r="G31" s="256">
        <f>SUM(S31:X31)</f>
        <v>0</v>
      </c>
      <c r="H31" s="255">
        <f>SUM(F31:G31)</f>
        <v>0</v>
      </c>
      <c r="I31" s="109"/>
      <c r="J31" s="255">
        <f>F31-B31</f>
        <v>0</v>
      </c>
      <c r="K31" s="256">
        <f>G31-C31</f>
        <v>0</v>
      </c>
      <c r="L31" s="255">
        <f>SUM(J31:K31)</f>
        <v>0</v>
      </c>
      <c r="M31" s="118">
        <f>SUMIFS('Payment Registry'!C13:C1013,'Payment Registry'!L13:L1013,"Chapter - Empty Bed Transfer (Chapter to Housing)",'Payment Registry'!B13:B1013,"7")</f>
        <v>0</v>
      </c>
      <c r="N31" s="685">
        <f>SUMIFS('Payment Registry'!C13:C1013,'Payment Registry'!L13:L1013,"Chapter - Empty Bed Transfer (Chapter to Housing)",'Payment Registry'!B13:B1013,"8")</f>
        <v>0</v>
      </c>
      <c r="O31" s="117">
        <f>SUMIFS('Payment Registry'!C13:C1013,'Payment Registry'!L13:L1013,"Chapter - Empty Bed Transfer (Chapter to Housing)",'Payment Registry'!B13:B1013,"9")</f>
        <v>0</v>
      </c>
      <c r="P31" s="685">
        <f>SUMIFS('Payment Registry'!C13:C1013,'Payment Registry'!L13:L1013,"Chapter - Empty Bed Transfer (Chapter to Housing)",'Payment Registry'!B13:B1013,"10")</f>
        <v>0</v>
      </c>
      <c r="Q31" s="117">
        <f>SUMIFS('Payment Registry'!C13:C1013,'Payment Registry'!L13:L1013,"Chapter - Empty Bed Transfer (Chapter to Housing)",'Payment Registry'!B13:B1013,"11")</f>
        <v>0</v>
      </c>
      <c r="R31" s="685">
        <f>SUMIFS('Payment Registry'!C13:C1013,'Payment Registry'!L13:L1013,"Chapter - Empty Bed Transfer (Chapter to Housing)",'Payment Registry'!B13:B1013,"12")</f>
        <v>0</v>
      </c>
      <c r="S31" s="117">
        <f>SUMIFS('Payment Registry'!C13:C1013,'Payment Registry'!L13:L1013,"Chapter - Empty Bed Transfer (Chapter to Housing)",'Payment Registry'!B13:B1013,"1")</f>
        <v>0</v>
      </c>
      <c r="T31" s="685">
        <f>SUMIFS('Payment Registry'!C13:C1013,'Payment Registry'!L13:L1013,"Chapter - Empty Bed Transfer (Chapter to Housing)",'Payment Registry'!B13:B1013,"2")</f>
        <v>0</v>
      </c>
      <c r="U31" s="117">
        <f>SUMIFS('Payment Registry'!C13:C1013,'Payment Registry'!L13:L1013,"Chapter - Empty Bed Transfer (Chapter to Housing)",'Payment Registry'!B13:B1013,"3")</f>
        <v>0</v>
      </c>
      <c r="V31" s="685">
        <f>SUMIFS('Payment Registry'!C13:C1013,'Payment Registry'!L13:L1013,"Chapter - Empty Bed Transfer (Chapter to Housing)",'Payment Registry'!B13:B1013,"4")</f>
        <v>0</v>
      </c>
      <c r="W31" s="117">
        <f>SUMIFS('Payment Registry'!C13:C1013,'Payment Registry'!L13:L1013,"Chapter - Empty Bed Transfer (Chapter to Housing)",'Payment Registry'!B13:B1013,"5")</f>
        <v>0</v>
      </c>
      <c r="X31" s="685">
        <f>SUMIFS('Payment Registry'!C13:C1013,'Payment Registry'!L13:L1013,"Chapter - Empty Bed Transfer (Chapter to Housing)",'Payment Registry'!B13:B1013,"6")</f>
        <v>0</v>
      </c>
    </row>
    <row r="32" spans="1:24" s="107" customFormat="1" ht="15" x14ac:dyDescent="0.35">
      <c r="A32" s="265"/>
      <c r="B32" s="86"/>
      <c r="C32" s="240"/>
      <c r="D32" s="237"/>
      <c r="E32" s="238"/>
      <c r="G32" s="239"/>
      <c r="I32" s="238"/>
      <c r="J32" s="237"/>
      <c r="K32" s="236"/>
      <c r="M32" s="105"/>
      <c r="N32" s="680"/>
      <c r="O32" s="106"/>
      <c r="P32" s="680"/>
      <c r="Q32" s="106"/>
      <c r="R32" s="680"/>
      <c r="S32" s="106"/>
      <c r="T32" s="680"/>
      <c r="U32" s="106"/>
      <c r="V32" s="680"/>
      <c r="W32" s="106"/>
      <c r="X32" s="680"/>
    </row>
    <row r="33" spans="1:24" s="107" customFormat="1" ht="17.25" customHeight="1" x14ac:dyDescent="0.2">
      <c r="A33" s="265" t="s">
        <v>299</v>
      </c>
      <c r="B33" s="620">
        <v>0</v>
      </c>
      <c r="C33" s="620">
        <v>0</v>
      </c>
      <c r="D33" s="86">
        <f>SUM(B33:C33)</f>
        <v>0</v>
      </c>
      <c r="E33" s="238"/>
      <c r="F33" s="86">
        <f>SUM(M33:R33)</f>
        <v>0</v>
      </c>
      <c r="G33" s="240">
        <f>SUM(S33:X33)</f>
        <v>0</v>
      </c>
      <c r="H33" s="86">
        <f>SUM(F33:G33)</f>
        <v>0</v>
      </c>
      <c r="I33" s="238"/>
      <c r="J33" s="86">
        <f>F33-B33</f>
        <v>0</v>
      </c>
      <c r="K33" s="240">
        <f>G33-C33</f>
        <v>0</v>
      </c>
      <c r="L33" s="86">
        <f>SUM(J33:K33)</f>
        <v>0</v>
      </c>
      <c r="M33" s="105">
        <f>'Accounts Receivable-Collections'!S4</f>
        <v>0</v>
      </c>
      <c r="N33" s="680">
        <f>'Accounts Receivable-Collections'!Y4</f>
        <v>0</v>
      </c>
      <c r="O33" s="106">
        <f>'Accounts Receivable-Collections'!AE4</f>
        <v>0</v>
      </c>
      <c r="P33" s="680">
        <f>'Accounts Receivable-Collections'!AK4</f>
        <v>0</v>
      </c>
      <c r="Q33" s="106">
        <f>'Accounts Receivable-Collections'!AQ4</f>
        <v>0</v>
      </c>
      <c r="R33" s="680">
        <f>'Accounts Receivable-Collections'!AW4</f>
        <v>0</v>
      </c>
      <c r="S33" s="106">
        <f>'Accounts Receivable-Collections'!BC4</f>
        <v>0</v>
      </c>
      <c r="T33" s="680">
        <f>'Accounts Receivable-Collections'!BI4</f>
        <v>0</v>
      </c>
      <c r="U33" s="106">
        <f>'Accounts Receivable-Collections'!BO4</f>
        <v>0</v>
      </c>
      <c r="V33" s="680">
        <f>'Accounts Receivable-Collections'!BU4</f>
        <v>0</v>
      </c>
      <c r="W33" s="106">
        <f>'Accounts Receivable-Collections'!CA4</f>
        <v>0</v>
      </c>
      <c r="X33" s="680">
        <f>'Accounts Receivable-Collections'!CG4</f>
        <v>0</v>
      </c>
    </row>
    <row r="34" spans="1:24" s="107" customFormat="1" ht="17.25" customHeight="1" x14ac:dyDescent="0.35">
      <c r="A34" s="265" t="s">
        <v>210</v>
      </c>
      <c r="B34" s="259">
        <f>-(B33*0.2)</f>
        <v>0</v>
      </c>
      <c r="C34" s="254">
        <f>-(C33*0.2)</f>
        <v>0</v>
      </c>
      <c r="D34" s="253">
        <f>SUM(B34:C34)</f>
        <v>0</v>
      </c>
      <c r="E34" s="238"/>
      <c r="G34" s="239"/>
      <c r="I34" s="238"/>
      <c r="J34" s="86"/>
      <c r="K34" s="236"/>
      <c r="M34" s="105"/>
      <c r="N34" s="680"/>
      <c r="O34" s="106"/>
      <c r="P34" s="680"/>
      <c r="Q34" s="106"/>
      <c r="R34" s="680"/>
      <c r="S34" s="106"/>
      <c r="T34" s="680"/>
      <c r="U34" s="106"/>
      <c r="V34" s="680"/>
      <c r="W34" s="106"/>
      <c r="X34" s="680"/>
    </row>
    <row r="35" spans="1:24" s="107" customFormat="1" ht="17.25" customHeight="1" x14ac:dyDescent="0.4">
      <c r="A35" s="267" t="s">
        <v>300</v>
      </c>
      <c r="B35" s="258">
        <f>B33+B34</f>
        <v>0</v>
      </c>
      <c r="C35" s="256">
        <f>C33+C34</f>
        <v>0</v>
      </c>
      <c r="D35" s="255">
        <f>SUM(B35:C35)</f>
        <v>0</v>
      </c>
      <c r="E35" s="238"/>
      <c r="F35" s="255">
        <f>SUM(F33)</f>
        <v>0</v>
      </c>
      <c r="G35" s="256">
        <f>SUM(G33)</f>
        <v>0</v>
      </c>
      <c r="H35" s="255">
        <f>SUM(F35:G35)</f>
        <v>0</v>
      </c>
      <c r="I35" s="109"/>
      <c r="J35" s="255">
        <f>F35-B35</f>
        <v>0</v>
      </c>
      <c r="K35" s="256">
        <f>G35-C35</f>
        <v>0</v>
      </c>
      <c r="L35" s="255">
        <f>SUM(J35:K35)</f>
        <v>0</v>
      </c>
      <c r="M35" s="636">
        <f t="shared" ref="M35:X35" si="16">SUM(M33)</f>
        <v>0</v>
      </c>
      <c r="N35" s="691">
        <f t="shared" si="16"/>
        <v>0</v>
      </c>
      <c r="O35" s="637">
        <f t="shared" si="16"/>
        <v>0</v>
      </c>
      <c r="P35" s="691">
        <f t="shared" si="16"/>
        <v>0</v>
      </c>
      <c r="Q35" s="637">
        <f t="shared" si="16"/>
        <v>0</v>
      </c>
      <c r="R35" s="691">
        <f t="shared" si="16"/>
        <v>0</v>
      </c>
      <c r="S35" s="637">
        <f t="shared" si="16"/>
        <v>0</v>
      </c>
      <c r="T35" s="691">
        <f t="shared" si="16"/>
        <v>0</v>
      </c>
      <c r="U35" s="637">
        <f t="shared" si="16"/>
        <v>0</v>
      </c>
      <c r="V35" s="691">
        <f t="shared" si="16"/>
        <v>0</v>
      </c>
      <c r="W35" s="637">
        <f t="shared" si="16"/>
        <v>0</v>
      </c>
      <c r="X35" s="685">
        <f t="shared" si="16"/>
        <v>0</v>
      </c>
    </row>
    <row r="36" spans="1:24" s="107" customFormat="1" ht="15" x14ac:dyDescent="0.35">
      <c r="A36" s="265"/>
      <c r="B36" s="86"/>
      <c r="C36" s="240"/>
      <c r="D36" s="237"/>
      <c r="E36" s="238"/>
      <c r="G36" s="239"/>
      <c r="I36" s="238"/>
      <c r="J36" s="237"/>
      <c r="K36" s="236"/>
      <c r="M36" s="105"/>
      <c r="N36" s="680"/>
      <c r="O36" s="106"/>
      <c r="P36" s="680"/>
      <c r="Q36" s="106"/>
      <c r="R36" s="680"/>
      <c r="S36" s="106"/>
      <c r="T36" s="680"/>
      <c r="U36" s="106"/>
      <c r="V36" s="680"/>
      <c r="W36" s="106"/>
      <c r="X36" s="680"/>
    </row>
    <row r="37" spans="1:24" s="286" customFormat="1" ht="31.5" x14ac:dyDescent="0.25">
      <c r="A37" s="243" t="s">
        <v>343</v>
      </c>
      <c r="B37" s="283">
        <f>B24+B29+B31+B35</f>
        <v>0</v>
      </c>
      <c r="C37" s="284">
        <f>C24+C29+C31+C35</f>
        <v>0</v>
      </c>
      <c r="D37" s="283">
        <f>SUM(B37:C37)</f>
        <v>0</v>
      </c>
      <c r="E37" s="285"/>
      <c r="F37" s="283">
        <f>F24+F29+F31+F35</f>
        <v>0</v>
      </c>
      <c r="G37" s="284">
        <f>G24+G29+G31+G35</f>
        <v>0</v>
      </c>
      <c r="H37" s="283">
        <f>SUM(F37:G37)</f>
        <v>0</v>
      </c>
      <c r="I37" s="285"/>
      <c r="J37" s="283">
        <f>J24+J29+J31+J35</f>
        <v>0</v>
      </c>
      <c r="K37" s="284">
        <f>K24+K29+K31+K35</f>
        <v>0</v>
      </c>
      <c r="L37" s="283">
        <f>SUM(J37:K37)</f>
        <v>0</v>
      </c>
      <c r="M37" s="282">
        <f t="shared" ref="M37:X37" si="17">M24+M29+M31+M35</f>
        <v>0</v>
      </c>
      <c r="N37" s="687">
        <f t="shared" si="17"/>
        <v>0</v>
      </c>
      <c r="O37" s="136">
        <f t="shared" si="17"/>
        <v>0</v>
      </c>
      <c r="P37" s="687">
        <f t="shared" si="17"/>
        <v>0</v>
      </c>
      <c r="Q37" s="136">
        <f t="shared" si="17"/>
        <v>0</v>
      </c>
      <c r="R37" s="687">
        <f t="shared" si="17"/>
        <v>0</v>
      </c>
      <c r="S37" s="136">
        <f t="shared" si="17"/>
        <v>0</v>
      </c>
      <c r="T37" s="687">
        <f t="shared" si="17"/>
        <v>0</v>
      </c>
      <c r="U37" s="136">
        <f t="shared" si="17"/>
        <v>0</v>
      </c>
      <c r="V37" s="687">
        <f t="shared" si="17"/>
        <v>0</v>
      </c>
      <c r="W37" s="136">
        <f t="shared" si="17"/>
        <v>0</v>
      </c>
      <c r="X37" s="687">
        <f t="shared" si="17"/>
        <v>0</v>
      </c>
    </row>
    <row r="38" spans="1:24" s="107" customFormat="1" ht="17.25" x14ac:dyDescent="0.35">
      <c r="A38" s="242"/>
      <c r="C38" s="236"/>
      <c r="D38" s="237"/>
      <c r="E38" s="238"/>
      <c r="G38" s="239"/>
      <c r="I38" s="238"/>
      <c r="J38" s="237"/>
      <c r="K38" s="236"/>
      <c r="M38" s="105"/>
      <c r="N38" s="680"/>
      <c r="O38" s="106"/>
      <c r="P38" s="680"/>
      <c r="Q38" s="106"/>
      <c r="R38" s="680"/>
      <c r="S38" s="106"/>
      <c r="T38" s="680"/>
      <c r="U38" s="106"/>
      <c r="V38" s="680"/>
      <c r="W38" s="106"/>
      <c r="X38" s="680"/>
    </row>
    <row r="39" spans="1:24" s="107" customFormat="1" ht="16.5" customHeight="1" x14ac:dyDescent="0.35">
      <c r="A39" s="1064" t="s">
        <v>170</v>
      </c>
      <c r="B39" s="670"/>
      <c r="C39" s="1066"/>
      <c r="D39" s="671"/>
      <c r="E39" s="672"/>
      <c r="F39" s="670"/>
      <c r="G39" s="673"/>
      <c r="H39" s="670"/>
      <c r="I39" s="672"/>
      <c r="J39" s="671"/>
      <c r="K39" s="674"/>
      <c r="L39" s="670"/>
      <c r="M39" s="675"/>
      <c r="N39" s="692"/>
      <c r="O39" s="676"/>
      <c r="P39" s="692"/>
      <c r="Q39" s="676"/>
      <c r="R39" s="692"/>
      <c r="S39" s="676"/>
      <c r="T39" s="692"/>
      <c r="U39" s="676"/>
      <c r="V39" s="692"/>
      <c r="W39" s="676"/>
      <c r="X39" s="692"/>
    </row>
    <row r="40" spans="1:24" s="107" customFormat="1" ht="15" x14ac:dyDescent="0.35">
      <c r="A40" s="1065"/>
      <c r="B40" s="23"/>
      <c r="C40" s="1067"/>
      <c r="D40" s="659"/>
      <c r="E40" s="677"/>
      <c r="F40" s="23"/>
      <c r="G40" s="678"/>
      <c r="H40" s="23"/>
      <c r="I40" s="677"/>
      <c r="J40" s="659"/>
      <c r="K40" s="642"/>
      <c r="L40" s="23"/>
      <c r="M40" s="653"/>
      <c r="N40" s="680"/>
      <c r="O40" s="106"/>
      <c r="P40" s="680"/>
      <c r="Q40" s="106"/>
      <c r="R40" s="680"/>
      <c r="S40" s="106"/>
      <c r="T40" s="680"/>
      <c r="U40" s="106"/>
      <c r="V40" s="680"/>
      <c r="W40" s="106"/>
      <c r="X40" s="680"/>
    </row>
    <row r="41" spans="1:24" s="107" customFormat="1" ht="15.75" x14ac:dyDescent="0.4">
      <c r="A41" s="268" t="s">
        <v>294</v>
      </c>
      <c r="B41" s="639">
        <v>0</v>
      </c>
      <c r="C41" s="640">
        <f>IF(C39="",0,IF(C39="Budgeted fall surplus/(deficit)",B165,IF(C39="Actual fall surplus/(deficit)",F165,0)))</f>
        <v>0</v>
      </c>
      <c r="D41" s="257"/>
      <c r="E41" s="238"/>
      <c r="F41" s="257">
        <f>B41</f>
        <v>0</v>
      </c>
      <c r="G41" s="390">
        <f>F165</f>
        <v>0</v>
      </c>
      <c r="I41" s="238"/>
      <c r="J41" s="237"/>
      <c r="K41" s="236"/>
      <c r="M41" s="105"/>
      <c r="N41" s="680"/>
      <c r="O41" s="106"/>
      <c r="P41" s="680"/>
      <c r="Q41" s="106"/>
      <c r="R41" s="680"/>
      <c r="S41" s="106"/>
      <c r="T41" s="680"/>
      <c r="U41" s="106"/>
      <c r="V41" s="680"/>
      <c r="W41" s="106"/>
      <c r="X41" s="680"/>
    </row>
    <row r="42" spans="1:24" s="107" customFormat="1" ht="15" x14ac:dyDescent="0.35">
      <c r="A42" s="268"/>
      <c r="C42" s="236"/>
      <c r="D42" s="237"/>
      <c r="E42" s="238"/>
      <c r="G42" s="239"/>
      <c r="I42" s="238"/>
      <c r="J42" s="237"/>
      <c r="K42" s="236"/>
      <c r="M42" s="105"/>
      <c r="N42" s="680"/>
      <c r="O42" s="106"/>
      <c r="P42" s="680"/>
      <c r="Q42" s="106"/>
      <c r="R42" s="680"/>
      <c r="S42" s="106"/>
      <c r="T42" s="680"/>
      <c r="U42" s="106"/>
      <c r="V42" s="680"/>
      <c r="W42" s="106"/>
      <c r="X42" s="680"/>
    </row>
    <row r="43" spans="1:24" s="107" customFormat="1" ht="15.75" x14ac:dyDescent="0.4">
      <c r="A43" s="268" t="s">
        <v>339</v>
      </c>
      <c r="B43" s="257">
        <f>'Membership Record'!L10</f>
        <v>0</v>
      </c>
      <c r="C43" s="390">
        <f>'Membership Record'!U10</f>
        <v>0</v>
      </c>
      <c r="D43" s="257">
        <f>SUM(B43:C43)</f>
        <v>0</v>
      </c>
      <c r="E43" s="238"/>
      <c r="F43" s="255">
        <f>SUM(M43:R43)</f>
        <v>0</v>
      </c>
      <c r="G43" s="256">
        <f>SUM(S43:X43)</f>
        <v>0</v>
      </c>
      <c r="H43" s="255">
        <f>SUM(F43:G43)</f>
        <v>0</v>
      </c>
      <c r="I43" s="238"/>
      <c r="J43" s="255">
        <f>F43-B43</f>
        <v>0</v>
      </c>
      <c r="K43" s="256">
        <f>G43-C43</f>
        <v>0</v>
      </c>
      <c r="L43" s="255">
        <f>SUM(J43:K43)</f>
        <v>0</v>
      </c>
      <c r="M43" s="118">
        <f>'Accounts Receivable-Collections'!U9</f>
        <v>0</v>
      </c>
      <c r="N43" s="685">
        <f>'Accounts Receivable-Collections'!AA9</f>
        <v>0</v>
      </c>
      <c r="O43" s="117">
        <f>'Accounts Receivable-Collections'!AG9</f>
        <v>0</v>
      </c>
      <c r="P43" s="685">
        <f>'Accounts Receivable-Collections'!AM9</f>
        <v>0</v>
      </c>
      <c r="Q43" s="117">
        <f>'Accounts Receivable-Collections'!AS9</f>
        <v>0</v>
      </c>
      <c r="R43" s="685">
        <f>'Accounts Receivable-Collections'!AY9</f>
        <v>0</v>
      </c>
      <c r="S43" s="117">
        <f>'Accounts Receivable-Collections'!BE9</f>
        <v>0</v>
      </c>
      <c r="T43" s="685">
        <f>'Accounts Receivable-Collections'!BK9</f>
        <v>0</v>
      </c>
      <c r="U43" s="117">
        <f>'Accounts Receivable-Collections'!BQ9</f>
        <v>0</v>
      </c>
      <c r="V43" s="685">
        <f>'Accounts Receivable-Collections'!BW9</f>
        <v>0</v>
      </c>
      <c r="W43" s="117">
        <f>'Accounts Receivable-Collections'!CC9</f>
        <v>0</v>
      </c>
      <c r="X43" s="685">
        <f>'Accounts Receivable-Collections'!CI9</f>
        <v>0</v>
      </c>
    </row>
    <row r="44" spans="1:24" s="107" customFormat="1" ht="15" x14ac:dyDescent="0.35">
      <c r="A44" s="269"/>
      <c r="C44" s="236"/>
      <c r="D44" s="237"/>
      <c r="E44" s="238"/>
      <c r="G44" s="239"/>
      <c r="I44" s="238"/>
      <c r="J44" s="237"/>
      <c r="K44" s="236"/>
      <c r="M44" s="105"/>
      <c r="N44" s="680"/>
      <c r="O44" s="106"/>
      <c r="P44" s="680"/>
      <c r="Q44" s="106"/>
      <c r="R44" s="680"/>
      <c r="S44" s="106"/>
      <c r="T44" s="680"/>
      <c r="U44" s="106"/>
      <c r="V44" s="680"/>
      <c r="W44" s="106"/>
      <c r="X44" s="680"/>
    </row>
    <row r="45" spans="1:24" s="107" customFormat="1" x14ac:dyDescent="0.2">
      <c r="A45" s="268" t="s">
        <v>301</v>
      </c>
      <c r="B45" s="620">
        <v>0</v>
      </c>
      <c r="C45" s="620">
        <v>0</v>
      </c>
      <c r="D45" s="86">
        <f>SUM(B45:C45)</f>
        <v>0</v>
      </c>
      <c r="E45" s="238"/>
      <c r="F45" s="86">
        <f>SUM(M45:R45)</f>
        <v>0</v>
      </c>
      <c r="G45" s="240">
        <f>SUM(S45:X45)</f>
        <v>0</v>
      </c>
      <c r="H45" s="86">
        <f>SUM(F45:G45)</f>
        <v>0</v>
      </c>
      <c r="I45" s="238"/>
      <c r="J45" s="86">
        <f>F45-B45</f>
        <v>0</v>
      </c>
      <c r="K45" s="240">
        <f>G45-C45</f>
        <v>0</v>
      </c>
      <c r="L45" s="86">
        <f>SUM(J45:K45)</f>
        <v>0</v>
      </c>
      <c r="M45" s="105">
        <f>'Accounts Receivable-Collections'!S5</f>
        <v>0</v>
      </c>
      <c r="N45" s="680">
        <f>'Accounts Receivable-Collections'!Y5</f>
        <v>0</v>
      </c>
      <c r="O45" s="106">
        <f>'Accounts Receivable-Collections'!AE5</f>
        <v>0</v>
      </c>
      <c r="P45" s="680">
        <f>'Accounts Receivable-Collections'!AK5</f>
        <v>0</v>
      </c>
      <c r="Q45" s="106">
        <f>'Accounts Receivable-Collections'!AQ5</f>
        <v>0</v>
      </c>
      <c r="R45" s="680">
        <f>'Accounts Receivable-Collections'!AW5</f>
        <v>0</v>
      </c>
      <c r="S45" s="106">
        <f>'Accounts Receivable-Collections'!BC5</f>
        <v>0</v>
      </c>
      <c r="T45" s="680">
        <f>'Accounts Receivable-Collections'!BI5</f>
        <v>0</v>
      </c>
      <c r="U45" s="106">
        <f>'Accounts Receivable-Collections'!BO5</f>
        <v>0</v>
      </c>
      <c r="V45" s="680">
        <f>'Accounts Receivable-Collections'!BU5</f>
        <v>0</v>
      </c>
      <c r="W45" s="106">
        <f>'Accounts Receivable-Collections'!CA5</f>
        <v>0</v>
      </c>
      <c r="X45" s="680">
        <f>'Accounts Receivable-Collections'!CG5</f>
        <v>0</v>
      </c>
    </row>
    <row r="46" spans="1:24" s="107" customFormat="1" ht="15" x14ac:dyDescent="0.35">
      <c r="A46" s="268" t="s">
        <v>210</v>
      </c>
      <c r="B46" s="259">
        <f>-(B45*0.2)</f>
        <v>0</v>
      </c>
      <c r="C46" s="259">
        <f>-(C45*0.2)</f>
        <v>0</v>
      </c>
      <c r="D46" s="259">
        <f>SUM(B46:C46)</f>
        <v>0</v>
      </c>
      <c r="E46" s="238"/>
      <c r="G46" s="239"/>
      <c r="I46" s="238"/>
      <c r="J46" s="237"/>
      <c r="K46" s="236"/>
      <c r="M46" s="105"/>
      <c r="N46" s="680"/>
      <c r="O46" s="106"/>
      <c r="P46" s="680"/>
      <c r="Q46" s="106"/>
      <c r="R46" s="680"/>
      <c r="S46" s="106"/>
      <c r="T46" s="680"/>
      <c r="U46" s="106"/>
      <c r="V46" s="680"/>
      <c r="W46" s="106"/>
      <c r="X46" s="680"/>
    </row>
    <row r="47" spans="1:24" s="107" customFormat="1" ht="15.75" x14ac:dyDescent="0.4">
      <c r="A47" s="269" t="s">
        <v>302</v>
      </c>
      <c r="B47" s="258">
        <f>B45+B46</f>
        <v>0</v>
      </c>
      <c r="C47" s="258">
        <f>C45+C46</f>
        <v>0</v>
      </c>
      <c r="D47" s="255">
        <f>SUM(B47:C47)</f>
        <v>0</v>
      </c>
      <c r="E47" s="238"/>
      <c r="F47" s="255">
        <f>SUM(F45)</f>
        <v>0</v>
      </c>
      <c r="G47" s="256">
        <f>SUM(G45)</f>
        <v>0</v>
      </c>
      <c r="H47" s="255">
        <f>SUM(F47:G47)</f>
        <v>0</v>
      </c>
      <c r="I47" s="109"/>
      <c r="J47" s="255">
        <f>F47-B47</f>
        <v>0</v>
      </c>
      <c r="K47" s="256">
        <f>G47-C47</f>
        <v>0</v>
      </c>
      <c r="L47" s="255">
        <f>SUM(J47:K47)</f>
        <v>0</v>
      </c>
      <c r="M47" s="118">
        <f t="shared" ref="M47:X47" si="18">SUM(M45)</f>
        <v>0</v>
      </c>
      <c r="N47" s="685">
        <f t="shared" si="18"/>
        <v>0</v>
      </c>
      <c r="O47" s="117">
        <f t="shared" si="18"/>
        <v>0</v>
      </c>
      <c r="P47" s="685">
        <f t="shared" si="18"/>
        <v>0</v>
      </c>
      <c r="Q47" s="117">
        <f t="shared" si="18"/>
        <v>0</v>
      </c>
      <c r="R47" s="685">
        <f t="shared" si="18"/>
        <v>0</v>
      </c>
      <c r="S47" s="117">
        <f t="shared" si="18"/>
        <v>0</v>
      </c>
      <c r="T47" s="685">
        <f t="shared" si="18"/>
        <v>0</v>
      </c>
      <c r="U47" s="117">
        <f t="shared" si="18"/>
        <v>0</v>
      </c>
      <c r="V47" s="685">
        <f t="shared" si="18"/>
        <v>0</v>
      </c>
      <c r="W47" s="117">
        <f t="shared" si="18"/>
        <v>0</v>
      </c>
      <c r="X47" s="685">
        <f t="shared" si="18"/>
        <v>0</v>
      </c>
    </row>
    <row r="48" spans="1:24" s="107" customFormat="1" ht="15" x14ac:dyDescent="0.35">
      <c r="A48" s="269"/>
      <c r="C48" s="236"/>
      <c r="D48" s="237"/>
      <c r="E48" s="238"/>
      <c r="G48" s="239"/>
      <c r="I48" s="238"/>
      <c r="J48" s="237"/>
      <c r="K48" s="236"/>
      <c r="M48" s="105"/>
      <c r="N48" s="680"/>
      <c r="O48" s="106"/>
      <c r="P48" s="680"/>
      <c r="Q48" s="106"/>
      <c r="R48" s="680"/>
      <c r="S48" s="106"/>
      <c r="T48" s="680"/>
      <c r="U48" s="106"/>
      <c r="V48" s="680"/>
      <c r="W48" s="106"/>
      <c r="X48" s="680"/>
    </row>
    <row r="49" spans="1:24" s="286" customFormat="1" ht="31.5" x14ac:dyDescent="0.55000000000000004">
      <c r="A49" s="294" t="s">
        <v>296</v>
      </c>
      <c r="B49" s="283">
        <f>B41+B43+B47</f>
        <v>0</v>
      </c>
      <c r="C49" s="284">
        <f>C41+C43+C47</f>
        <v>0</v>
      </c>
      <c r="D49" s="283">
        <f>SUM(B49:C49)</f>
        <v>0</v>
      </c>
      <c r="E49" s="285"/>
      <c r="F49" s="283">
        <f>F41+F43+F47</f>
        <v>0</v>
      </c>
      <c r="G49" s="284">
        <f>G41+G43+G47</f>
        <v>0</v>
      </c>
      <c r="H49" s="402">
        <f>SUM(F49:G49)</f>
        <v>0</v>
      </c>
      <c r="I49" s="404"/>
      <c r="J49" s="402">
        <f>J41+J43+J47</f>
        <v>0</v>
      </c>
      <c r="K49" s="403">
        <f>K41+K43+K47</f>
        <v>0</v>
      </c>
      <c r="L49" s="402">
        <f>SUM(J49:K49)</f>
        <v>0</v>
      </c>
      <c r="M49" s="405">
        <f t="shared" ref="M49:X49" si="19">M41+M43+M47</f>
        <v>0</v>
      </c>
      <c r="N49" s="693">
        <f t="shared" si="19"/>
        <v>0</v>
      </c>
      <c r="O49" s="406">
        <f t="shared" si="19"/>
        <v>0</v>
      </c>
      <c r="P49" s="693">
        <f t="shared" si="19"/>
        <v>0</v>
      </c>
      <c r="Q49" s="406">
        <f t="shared" si="19"/>
        <v>0</v>
      </c>
      <c r="R49" s="693">
        <f t="shared" si="19"/>
        <v>0</v>
      </c>
      <c r="S49" s="406">
        <f t="shared" si="19"/>
        <v>0</v>
      </c>
      <c r="T49" s="693">
        <f t="shared" si="19"/>
        <v>0</v>
      </c>
      <c r="U49" s="406">
        <f t="shared" si="19"/>
        <v>0</v>
      </c>
      <c r="V49" s="693">
        <f t="shared" si="19"/>
        <v>0</v>
      </c>
      <c r="W49" s="406">
        <f t="shared" si="19"/>
        <v>0</v>
      </c>
      <c r="X49" s="693">
        <f t="shared" si="19"/>
        <v>0</v>
      </c>
    </row>
    <row r="50" spans="1:24" s="315" customFormat="1" ht="16.5" thickBot="1" x14ac:dyDescent="0.3">
      <c r="A50" s="311"/>
      <c r="B50" s="312"/>
      <c r="C50" s="313"/>
      <c r="D50" s="312"/>
      <c r="E50" s="314"/>
      <c r="G50" s="316"/>
      <c r="I50" s="314"/>
      <c r="J50" s="317"/>
      <c r="K50" s="318"/>
      <c r="M50" s="319"/>
      <c r="N50" s="694"/>
      <c r="O50" s="320"/>
      <c r="P50" s="694"/>
      <c r="Q50" s="320"/>
      <c r="R50" s="694"/>
      <c r="S50" s="320"/>
      <c r="T50" s="694"/>
      <c r="U50" s="320"/>
      <c r="V50" s="694"/>
      <c r="W50" s="320"/>
      <c r="X50" s="694"/>
    </row>
    <row r="51" spans="1:24" s="107" customFormat="1" ht="13.5" customHeight="1" x14ac:dyDescent="0.35">
      <c r="C51" s="236"/>
      <c r="D51" s="237"/>
      <c r="E51" s="238"/>
      <c r="G51" s="239"/>
      <c r="I51" s="238"/>
      <c r="J51" s="237"/>
      <c r="K51" s="236"/>
      <c r="M51" s="240"/>
      <c r="N51" s="695"/>
      <c r="O51" s="241"/>
      <c r="P51" s="695"/>
      <c r="Q51" s="241"/>
      <c r="R51" s="695"/>
      <c r="S51" s="241"/>
      <c r="T51" s="695"/>
      <c r="U51" s="241"/>
      <c r="V51" s="695"/>
      <c r="W51" s="241"/>
      <c r="X51" s="695"/>
    </row>
    <row r="52" spans="1:24" ht="15.75" x14ac:dyDescent="0.25">
      <c r="A52" s="235" t="s">
        <v>45</v>
      </c>
      <c r="C52" s="119"/>
      <c r="G52" s="119"/>
      <c r="K52" s="119"/>
      <c r="M52" s="105"/>
      <c r="N52" s="680"/>
      <c r="O52" s="106"/>
      <c r="P52" s="680"/>
      <c r="Q52" s="106"/>
      <c r="R52" s="680"/>
      <c r="S52" s="106"/>
      <c r="T52" s="680"/>
      <c r="U52" s="106"/>
      <c r="V52" s="680"/>
      <c r="W52" s="106"/>
      <c r="X52" s="680"/>
    </row>
    <row r="53" spans="1:24" ht="15.75" x14ac:dyDescent="0.25">
      <c r="A53" s="277" t="s">
        <v>38</v>
      </c>
      <c r="C53" s="119"/>
      <c r="G53" s="119"/>
      <c r="K53" s="119"/>
      <c r="M53" s="105"/>
      <c r="N53" s="680"/>
      <c r="O53" s="106"/>
      <c r="P53" s="680"/>
      <c r="Q53" s="106"/>
      <c r="R53" s="680"/>
      <c r="S53" s="106"/>
      <c r="T53" s="680"/>
      <c r="U53" s="106"/>
      <c r="V53" s="680"/>
      <c r="W53" s="106"/>
      <c r="X53" s="680"/>
    </row>
    <row r="54" spans="1:24" x14ac:dyDescent="0.2">
      <c r="A54" s="274" t="s">
        <v>211</v>
      </c>
      <c r="B54" s="166">
        <f>'Ch Operations Budget Worksheet'!E3</f>
        <v>0</v>
      </c>
      <c r="C54" s="793">
        <f>'Ch Operations Budget Worksheet'!J3</f>
        <v>0</v>
      </c>
      <c r="D54" s="166">
        <f>SUM(B54:C54)</f>
        <v>0</v>
      </c>
      <c r="F54" s="14">
        <f>SUM(M54:R54)</f>
        <v>0</v>
      </c>
      <c r="G54" s="793">
        <f>SUM(S54:X54)</f>
        <v>0</v>
      </c>
      <c r="H54" s="166">
        <f>SUM(F54:G54)</f>
        <v>0</v>
      </c>
      <c r="J54" s="14">
        <f t="shared" ref="J54:J58" si="20">F54-B54</f>
        <v>0</v>
      </c>
      <c r="K54" s="793">
        <f t="shared" ref="K54:K58" si="21">G54-C54</f>
        <v>0</v>
      </c>
      <c r="L54" s="166">
        <f t="shared" ref="L54:L58" si="22">H54-D54</f>
        <v>0</v>
      </c>
      <c r="M54" s="105">
        <f>SUMIFS('Payment Registry'!C13:C1013,'Payment Registry'!L13:L1013,"Chapter - Risk Management",'Payment Registry'!B13:B1013,"7")</f>
        <v>0</v>
      </c>
      <c r="N54" s="680">
        <f>SUMIFS('Payment Registry'!C13:C1013,'Payment Registry'!L13:L1013,"Chapter - Risk Management",'Payment Registry'!B13:B1013,"8")</f>
        <v>0</v>
      </c>
      <c r="O54" s="106">
        <f>SUMIFS('Payment Registry'!C13:C1013,'Payment Registry'!L13:L1013,"Chapter - Risk Management",'Payment Registry'!B13:B1013,"9")</f>
        <v>0</v>
      </c>
      <c r="P54" s="680">
        <f>SUMIFS('Payment Registry'!C13:C1013,'Payment Registry'!L13:L1013,"Chapter - Risk Management",'Payment Registry'!B13:B1013,"10")</f>
        <v>0</v>
      </c>
      <c r="Q54" s="106">
        <f>SUMIFS('Payment Registry'!C13:C1013,'Payment Registry'!L13:L1013,"Chapter - Risk Management",'Payment Registry'!B13:B1013,"11")</f>
        <v>0</v>
      </c>
      <c r="R54" s="680">
        <f>SUMIFS('Payment Registry'!C13:C1013,'Payment Registry'!L13:L1013,"Chapter - Risk Management",'Payment Registry'!B13:B1013,"12")</f>
        <v>0</v>
      </c>
      <c r="S54" s="106">
        <f>SUMIFS('Payment Registry'!C13:C1013,'Payment Registry'!L13:L1013,"Chapter - Risk Management",'Payment Registry'!B13:B1013,"1")</f>
        <v>0</v>
      </c>
      <c r="T54" s="680">
        <f>SUMIFS('Payment Registry'!C13:C1013,'Payment Registry'!L13:L1013,"Chapter - Risk Management",'Payment Registry'!B13:B1013,"2")</f>
        <v>0</v>
      </c>
      <c r="U54" s="106">
        <f>SUMIFS('Payment Registry'!C13:C1013,'Payment Registry'!L13:L1013,"Chapter - Risk Management",'Payment Registry'!B13:B1013,"3")</f>
        <v>0</v>
      </c>
      <c r="V54" s="680">
        <f>SUMIFS('Payment Registry'!C13:C1013,'Payment Registry'!L13:L1013,"Chapter - Risk Management",'Payment Registry'!B13:B1013,"4")</f>
        <v>0</v>
      </c>
      <c r="W54" s="106">
        <f>SUMIFS('Payment Registry'!C13:C1013,'Payment Registry'!L13:L1013,"Chapter - Risk Management",'Payment Registry'!B13:B1013,"5")</f>
        <v>0</v>
      </c>
      <c r="X54" s="680">
        <f>SUMIFS('Payment Registry'!C13:C1013,'Payment Registry'!L13:L1013,"Chapter - Risk Management",'Payment Registry'!B13:B1013,"6")</f>
        <v>0</v>
      </c>
    </row>
    <row r="55" spans="1:24" x14ac:dyDescent="0.2">
      <c r="A55" s="274" t="s">
        <v>212</v>
      </c>
      <c r="B55" s="166">
        <f>'Ch Operations Budget Worksheet'!E6</f>
        <v>0</v>
      </c>
      <c r="C55" s="793">
        <f>'Ch Operations Budget Worksheet'!J6</f>
        <v>0</v>
      </c>
      <c r="D55" s="166">
        <f>SUM(B55:C55)</f>
        <v>0</v>
      </c>
      <c r="F55" s="14">
        <f>SUM(M55:R55)</f>
        <v>0</v>
      </c>
      <c r="G55" s="793">
        <f>SUM(S55:X55)</f>
        <v>0</v>
      </c>
      <c r="H55" s="166">
        <f t="shared" ref="H55:H57" si="23">SUM(F55:G55)</f>
        <v>0</v>
      </c>
      <c r="J55" s="14">
        <f t="shared" si="20"/>
        <v>0</v>
      </c>
      <c r="K55" s="793">
        <f t="shared" si="21"/>
        <v>0</v>
      </c>
      <c r="L55" s="166">
        <f t="shared" si="22"/>
        <v>0</v>
      </c>
      <c r="M55" s="105">
        <f>SUMIFS('Payment Registry'!C13:C1013,'Payment Registry'!L13:L1013,"Chapter - Initiate Dues",'Payment Registry'!B13:B1013,"7")</f>
        <v>0</v>
      </c>
      <c r="N55" s="680">
        <f>SUMIFS('Payment Registry'!C13:C1013,'Payment Registry'!L13:L1013,"Chapter - Initiate Dues",'Payment Registry'!B13:B1013,"8")</f>
        <v>0</v>
      </c>
      <c r="O55" s="106">
        <f>SUMIFS('Payment Registry'!C13:C1013,'Payment Registry'!L13:L1013,"Chapter - Initiate Dues",'Payment Registry'!B13:B1013,"9")</f>
        <v>0</v>
      </c>
      <c r="P55" s="680">
        <f>SUMIFS('Payment Registry'!C13:C1013,'Payment Registry'!L13:L1013,"Chapter - Initiate Dues",'Payment Registry'!B13:B1013,"10")</f>
        <v>0</v>
      </c>
      <c r="Q55" s="106">
        <f>SUMIFS('Payment Registry'!C13:C1013,'Payment Registry'!L13:L1013,"Chapter - Initiate Dues",'Payment Registry'!B13:B1013,"11")</f>
        <v>0</v>
      </c>
      <c r="R55" s="680">
        <f>SUMIFS('Payment Registry'!C13:C1013,'Payment Registry'!L13:L1013,"Chapter - Initiate Dues",'Payment Registry'!B13:B1013,"12")</f>
        <v>0</v>
      </c>
      <c r="S55" s="106">
        <f>SUMIFS('Payment Registry'!C13:C1013,'Payment Registry'!L13:L1013,"Chapter - Initiate Dues",'Payment Registry'!B13:B1013,"1")</f>
        <v>0</v>
      </c>
      <c r="T55" s="680">
        <f>SUMIFS('Payment Registry'!C13:C1013,'Payment Registry'!L13:L1013,"Chapter - Initiate Dues",'Payment Registry'!B13:B1013,"2")</f>
        <v>0</v>
      </c>
      <c r="U55" s="106">
        <f>SUMIFS('Payment Registry'!C13:C1013,'Payment Registry'!L13:L1013,"Chapter - Initiate Dues",'Payment Registry'!B13:B1013,"3")</f>
        <v>0</v>
      </c>
      <c r="V55" s="680">
        <f>SUMIFS('Payment Registry'!C13:C1013,'Payment Registry'!L13:L1013,"Chapter - Initiate Dues",'Payment Registry'!B13:B1013,"4")</f>
        <v>0</v>
      </c>
      <c r="W55" s="106">
        <f>SUMIFS('Payment Registry'!C13:C1013,'Payment Registry'!L13:L1013,"Chapter - Initiate Dues",'Payment Registry'!B13:B1013,"5")</f>
        <v>0</v>
      </c>
      <c r="X55" s="680">
        <f>SUMIFS('Payment Registry'!C13:C1013,'Payment Registry'!L13:L1013,"Chapter - Initiate Dues",'Payment Registry'!B13:B1013,"6")</f>
        <v>0</v>
      </c>
    </row>
    <row r="56" spans="1:24" x14ac:dyDescent="0.2">
      <c r="A56" s="274" t="s">
        <v>213</v>
      </c>
      <c r="B56" s="166">
        <f>'Ch Operations Budget Worksheet'!E11</f>
        <v>1400</v>
      </c>
      <c r="C56" s="793">
        <f>'Ch Operations Budget Worksheet'!J11</f>
        <v>1400</v>
      </c>
      <c r="D56" s="166">
        <f>SUM(B56:C56)</f>
        <v>2800</v>
      </c>
      <c r="F56" s="14">
        <f t="shared" ref="F56:F57" si="24">SUM(M56:R56)</f>
        <v>0</v>
      </c>
      <c r="G56" s="793">
        <f t="shared" ref="G56:G57" si="25">SUM(S56:X56)</f>
        <v>0</v>
      </c>
      <c r="H56" s="166">
        <f t="shared" si="23"/>
        <v>0</v>
      </c>
      <c r="J56" s="14">
        <f t="shared" si="20"/>
        <v>-1400</v>
      </c>
      <c r="K56" s="793">
        <f t="shared" si="21"/>
        <v>-1400</v>
      </c>
      <c r="L56" s="166">
        <f t="shared" si="22"/>
        <v>-2800</v>
      </c>
      <c r="M56" s="105">
        <f>SUMIFS('Payment Registry'!C13:C1013,'Payment Registry'!L13:L1013,"Chapter - Conclave Fee",'Payment Registry'!B13:B1013,"7")</f>
        <v>0</v>
      </c>
      <c r="N56" s="680">
        <f>SUMIFS('Payment Registry'!C13:C1013,'Payment Registry'!L13:L1013,"Chapter - Conclave Fee",'Payment Registry'!B13:B1013,"8")</f>
        <v>0</v>
      </c>
      <c r="O56" s="106">
        <f>SUMIFS('Payment Registry'!C13:C1013,'Payment Registry'!L13:L1013,"Chapter - Conclave Fee",'Payment Registry'!B13:B1013,"9")</f>
        <v>0</v>
      </c>
      <c r="P56" s="680">
        <f>SUMIFS('Payment Registry'!C13:C1013,'Payment Registry'!L13:L1013,"Chapter - Conclave Fee",'Payment Registry'!B13:B1013,"10")</f>
        <v>0</v>
      </c>
      <c r="Q56" s="106">
        <f>SUMIFS('Payment Registry'!C13:C1013,'Payment Registry'!L13:L1013,"Chapter - Conclave Fee",'Payment Registry'!B13:B1013,"11")</f>
        <v>0</v>
      </c>
      <c r="R56" s="680">
        <f>SUMIFS('Payment Registry'!C13:C1013,'Payment Registry'!L13:L1013,"Chapter - Conclave Fee",'Payment Registry'!B13:B1013,"12")</f>
        <v>0</v>
      </c>
      <c r="S56" s="106">
        <f>SUMIFS('Payment Registry'!C13:C1013,'Payment Registry'!L13:L1013,"Chapter - Conclave Fee",'Payment Registry'!B13:B1013,"1")</f>
        <v>0</v>
      </c>
      <c r="T56" s="680">
        <f>SUMIFS('Payment Registry'!C13:C1013,'Payment Registry'!L13:L1013,"Chapter - Conclave Fee",'Payment Registry'!B13:B1013,"2")</f>
        <v>0</v>
      </c>
      <c r="U56" s="106">
        <f>SUMIFS('Payment Registry'!C13:C1013,'Payment Registry'!L13:L1013,"Chapter - Conclave Fee",'Payment Registry'!B13:B1013,"3")</f>
        <v>0</v>
      </c>
      <c r="V56" s="680">
        <f>SUMIFS('Payment Registry'!C13:C1013,'Payment Registry'!L13:L1013,"Chapter - Conclave Fee",'Payment Registry'!B13:B1013,"4")</f>
        <v>0</v>
      </c>
      <c r="W56" s="106">
        <f>SUMIFS('Payment Registry'!C13:C1013,'Payment Registry'!L13:L1013,"Chapter - Conclave Fee",'Payment Registry'!B13:B1013,"5")</f>
        <v>0</v>
      </c>
      <c r="X56" s="680">
        <f>SUMIFS('Payment Registry'!C13:C1013,'Payment Registry'!L13:L1013,"Chapter - Conclave Fee",'Payment Registry'!B13:B1013,"6")</f>
        <v>0</v>
      </c>
    </row>
    <row r="57" spans="1:24" ht="15" x14ac:dyDescent="0.35">
      <c r="A57" s="274" t="s">
        <v>214</v>
      </c>
      <c r="B57" s="794">
        <f>'Ch Operations Budget Worksheet'!E14</f>
        <v>0</v>
      </c>
      <c r="C57" s="650"/>
      <c r="D57" s="649">
        <f>SUM(B57:C57)</f>
        <v>0</v>
      </c>
      <c r="E57" s="124"/>
      <c r="F57" s="81">
        <f t="shared" si="24"/>
        <v>0</v>
      </c>
      <c r="G57" s="650">
        <f t="shared" si="25"/>
        <v>0</v>
      </c>
      <c r="H57" s="649">
        <f t="shared" si="23"/>
        <v>0</v>
      </c>
      <c r="I57" s="124"/>
      <c r="J57" s="81">
        <f t="shared" si="20"/>
        <v>0</v>
      </c>
      <c r="K57" s="650">
        <f t="shared" si="21"/>
        <v>0</v>
      </c>
      <c r="L57" s="649">
        <f t="shared" si="22"/>
        <v>0</v>
      </c>
      <c r="M57" s="111">
        <f>SUMIFS('Payment Registry'!C13:C1013,'Payment Registry'!L13:L1013,"Chapter - GreekLifeEdu Surcharge",'Payment Registry'!B13:B1013,"7")</f>
        <v>0</v>
      </c>
      <c r="N57" s="684">
        <f>SUMIFS('Payment Registry'!C13:C1013,'Payment Registry'!L13:L1013,"Chapter - GreekLifeEdu Surcharge",'Payment Registry'!B13:B1013,"8")</f>
        <v>0</v>
      </c>
      <c r="O57" s="112">
        <f>SUMIFS('Payment Registry'!C13:C1013,'Payment Registry'!L13:L1013,"Chapter - GreekLifeEdu Surcharge",'Payment Registry'!B13:B1013,"9")</f>
        <v>0</v>
      </c>
      <c r="P57" s="684">
        <f>SUMIFS('Payment Registry'!C13:C1013,'Payment Registry'!L13:L1013,"Chapter - GreekLifeEdu Surcharge",'Payment Registry'!B13:B1013,"10")</f>
        <v>0</v>
      </c>
      <c r="Q57" s="112">
        <f>SUMIFS('Payment Registry'!C13:C1013,'Payment Registry'!L13:L1013,"Chapter - GreekLifeEdu Surcharge",'Payment Registry'!B13:B1013,"11")</f>
        <v>0</v>
      </c>
      <c r="R57" s="684">
        <f>SUMIFS('Payment Registry'!C13:C1013,'Payment Registry'!L13:L1013,"Chapter - GreekLifeEdu Surcharge",'Payment Registry'!B13:B1013,"12")</f>
        <v>0</v>
      </c>
      <c r="S57" s="112">
        <f>SUMIFS('Payment Registry'!C13:C1013,'Payment Registry'!L13:L1013,"Chapter - GreekLifeEdu Surcharge",'Payment Registry'!B13:B1013,"1")</f>
        <v>0</v>
      </c>
      <c r="T57" s="684">
        <f>SUMIFS('Payment Registry'!C13:C1013,'Payment Registry'!L13:L1013,"Chapter - GreekLifeEdu Surcharge",'Payment Registry'!B13:B1013,"2")</f>
        <v>0</v>
      </c>
      <c r="U57" s="112">
        <f>SUMIFS('Payment Registry'!C13:C1013,'Payment Registry'!L13:L1013,"Chapter - GreekLifeEdu Surcharge",'Payment Registry'!B13:B1013,"3")</f>
        <v>0</v>
      </c>
      <c r="V57" s="684">
        <f>SUMIFS('Payment Registry'!C13:C1013,'Payment Registry'!L13:L1013,"Chapter - GreekLifeEdu Surcharge",'Payment Registry'!B13:B1013,"4")</f>
        <v>0</v>
      </c>
      <c r="W57" s="112">
        <f>SUMIFS('Payment Registry'!C13:C1013,'Payment Registry'!L13:L1013,"Chapter - GreekLifeEdu Surcharge",'Payment Registry'!B13:B1013,"5")</f>
        <v>0</v>
      </c>
      <c r="X57" s="684">
        <f>SUMIFS('Payment Registry'!C13:C1013,'Payment Registry'!L13:L1013,"Chapter - GreekLifeEdu Surcharge",'Payment Registry'!B13:B1013,"6")</f>
        <v>0</v>
      </c>
    </row>
    <row r="58" spans="1:24" ht="15" x14ac:dyDescent="0.35">
      <c r="A58" s="276" t="s">
        <v>52</v>
      </c>
      <c r="B58" s="292">
        <f>SUM(B54:B57)</f>
        <v>1400</v>
      </c>
      <c r="C58" s="291">
        <f>SUM(C54:C57)</f>
        <v>1400</v>
      </c>
      <c r="D58" s="292">
        <f>SUM(D54:D57)</f>
        <v>2800</v>
      </c>
      <c r="F58" s="126">
        <f>SUM(F54:F57)</f>
        <v>0</v>
      </c>
      <c r="G58" s="291">
        <f>SUM(G54:G57)</f>
        <v>0</v>
      </c>
      <c r="H58" s="292">
        <f>SUM(H54:H57)</f>
        <v>0</v>
      </c>
      <c r="J58" s="126">
        <f t="shared" si="20"/>
        <v>-1400</v>
      </c>
      <c r="K58" s="291">
        <f t="shared" si="21"/>
        <v>-1400</v>
      </c>
      <c r="L58" s="292">
        <f t="shared" si="22"/>
        <v>-2800</v>
      </c>
      <c r="M58" s="127">
        <f t="shared" ref="M58:X58" si="26">SUM(M54:M57)</f>
        <v>0</v>
      </c>
      <c r="N58" s="696">
        <f t="shared" si="26"/>
        <v>0</v>
      </c>
      <c r="O58" s="128">
        <f t="shared" si="26"/>
        <v>0</v>
      </c>
      <c r="P58" s="696">
        <f t="shared" si="26"/>
        <v>0</v>
      </c>
      <c r="Q58" s="128">
        <f t="shared" si="26"/>
        <v>0</v>
      </c>
      <c r="R58" s="696">
        <f t="shared" si="26"/>
        <v>0</v>
      </c>
      <c r="S58" s="128">
        <f t="shared" si="26"/>
        <v>0</v>
      </c>
      <c r="T58" s="696">
        <f t="shared" si="26"/>
        <v>0</v>
      </c>
      <c r="U58" s="128">
        <f t="shared" si="26"/>
        <v>0</v>
      </c>
      <c r="V58" s="696">
        <f t="shared" si="26"/>
        <v>0</v>
      </c>
      <c r="W58" s="128">
        <f t="shared" si="26"/>
        <v>0</v>
      </c>
      <c r="X58" s="696">
        <f t="shared" si="26"/>
        <v>0</v>
      </c>
    </row>
    <row r="59" spans="1:24" x14ac:dyDescent="0.2">
      <c r="A59" s="274"/>
      <c r="B59" s="156"/>
      <c r="C59" s="426"/>
      <c r="D59" s="156"/>
      <c r="G59" s="426"/>
      <c r="H59" s="156"/>
      <c r="K59" s="426"/>
      <c r="L59" s="156"/>
      <c r="M59" s="105"/>
      <c r="N59" s="680"/>
      <c r="O59" s="106"/>
      <c r="P59" s="680"/>
      <c r="Q59" s="106"/>
      <c r="R59" s="680"/>
      <c r="S59" s="106"/>
      <c r="T59" s="680"/>
      <c r="U59" s="106"/>
      <c r="V59" s="680"/>
      <c r="W59" s="106"/>
      <c r="X59" s="680"/>
    </row>
    <row r="60" spans="1:24" ht="15" x14ac:dyDescent="0.35">
      <c r="A60" s="276" t="s">
        <v>53</v>
      </c>
      <c r="B60" s="292">
        <f>'Ch Operations Budget Worksheet'!E9</f>
        <v>0</v>
      </c>
      <c r="C60" s="291">
        <f>'Ch Operations Budget Worksheet'!J9</f>
        <v>0</v>
      </c>
      <c r="D60" s="292">
        <f>SUM(B60:C60)</f>
        <v>0</v>
      </c>
      <c r="F60" s="126">
        <f t="shared" ref="F60:F63" si="27">SUM(M60:R60)</f>
        <v>0</v>
      </c>
      <c r="G60" s="291">
        <f t="shared" ref="G60:G63" si="28">SUM(S60:X60)</f>
        <v>0</v>
      </c>
      <c r="H60" s="292">
        <f>SUM(F60:G60)</f>
        <v>0</v>
      </c>
      <c r="J60" s="126">
        <f t="shared" ref="J60:L60" si="29">F60-B60</f>
        <v>0</v>
      </c>
      <c r="K60" s="291">
        <f t="shared" si="29"/>
        <v>0</v>
      </c>
      <c r="L60" s="292">
        <f t="shared" si="29"/>
        <v>0</v>
      </c>
      <c r="M60" s="127">
        <f>SUMIFS('Payment Registry'!C13:C1013,'Payment Registry'!L13:L1013,"Chapter - IFC/University Dues",'Payment Registry'!B13:B1013,"7")</f>
        <v>0</v>
      </c>
      <c r="N60" s="696">
        <f>SUMIFS('Payment Registry'!C13:C1013,'Payment Registry'!L13:L1013,"Chapter - IFC/University Dues",'Payment Registry'!B13:B1013,"8")</f>
        <v>0</v>
      </c>
      <c r="O60" s="128">
        <f>SUMIFS('Payment Registry'!C13:C1013,'Payment Registry'!L13:L1013,"Chapter - IFC/University Dues",'Payment Registry'!B13:B1013,"9")</f>
        <v>0</v>
      </c>
      <c r="P60" s="696">
        <f>SUMIFS('Payment Registry'!C13:C1013,'Payment Registry'!L13:L1013,"Chapter - IFC/University Dues",'Payment Registry'!B13:B1013,"10")</f>
        <v>0</v>
      </c>
      <c r="Q60" s="128">
        <f>SUMIFS('Payment Registry'!C13:C1013,'Payment Registry'!L13:L1013,"Chapter - IFC/University Dues",'Payment Registry'!B13:B1013,"11")</f>
        <v>0</v>
      </c>
      <c r="R60" s="696">
        <f>SUMIFS('Payment Registry'!C13:C1013,'Payment Registry'!L13:L1013,"Chapter - IFC/University Dues",'Payment Registry'!B13:B1013,"12")</f>
        <v>0</v>
      </c>
      <c r="S60" s="128">
        <f>SUMIFS('Payment Registry'!C13:C1013,'Payment Registry'!L13:L1013,"Chapter - IFC/University Dues",'Payment Registry'!B13:B1013,"1")</f>
        <v>0</v>
      </c>
      <c r="T60" s="696">
        <f>SUMIFS('Payment Registry'!C13:C1013,'Payment Registry'!L13:L1013,"Chapter - IFC/University Dues",'Payment Registry'!B13:B1013,"2")</f>
        <v>0</v>
      </c>
      <c r="U60" s="128">
        <f>SUMIFS('Payment Registry'!C13:C1013,'Payment Registry'!L13:L1013,"Chapter - IFC/University Dues",'Payment Registry'!B13:B1013,"3")</f>
        <v>0</v>
      </c>
      <c r="V60" s="696">
        <f>SUMIFS('Payment Registry'!C13:C1013,'Payment Registry'!L13:L1013,"Chapter - IFC/University Dues",'Payment Registry'!B13:B1013,"4")</f>
        <v>0</v>
      </c>
      <c r="W60" s="128">
        <f>SUMIFS('Payment Registry'!C13:C1013,'Payment Registry'!L13:L1013,"Chapter - IFC/University Dues",'Payment Registry'!B13:B1013,"5")</f>
        <v>0</v>
      </c>
      <c r="X60" s="696">
        <f>SUMIFS('Payment Registry'!C13:C1013,'Payment Registry'!L13:L1013,"Chapter - IFC/University Dues",'Payment Registry'!B13:B1013,"6")</f>
        <v>0</v>
      </c>
    </row>
    <row r="61" spans="1:24" x14ac:dyDescent="0.2">
      <c r="A61" s="274"/>
      <c r="B61" s="156"/>
      <c r="C61" s="426"/>
      <c r="D61" s="156"/>
      <c r="G61" s="426"/>
      <c r="H61" s="156"/>
      <c r="K61" s="426"/>
      <c r="L61" s="156"/>
      <c r="M61" s="105"/>
      <c r="N61" s="680"/>
      <c r="O61" s="106"/>
      <c r="P61" s="680"/>
      <c r="Q61" s="106"/>
      <c r="R61" s="680"/>
      <c r="S61" s="106"/>
      <c r="T61" s="680"/>
      <c r="U61" s="106"/>
      <c r="V61" s="680"/>
      <c r="W61" s="106"/>
      <c r="X61" s="680"/>
    </row>
    <row r="62" spans="1:24" x14ac:dyDescent="0.2">
      <c r="A62" s="274" t="s">
        <v>215</v>
      </c>
      <c r="B62" s="166">
        <f>'Ch Operations Budget Worksheet'!E17</f>
        <v>0</v>
      </c>
      <c r="C62" s="793">
        <f>'Ch Operations Budget Worksheet'!J17</f>
        <v>0</v>
      </c>
      <c r="D62" s="166">
        <f>SUM(B62:C62)</f>
        <v>0</v>
      </c>
      <c r="F62" s="14">
        <f t="shared" si="27"/>
        <v>0</v>
      </c>
      <c r="G62" s="793">
        <f t="shared" si="28"/>
        <v>0</v>
      </c>
      <c r="H62" s="166">
        <f t="shared" ref="H62:H63" si="30">SUM(F62:G62)</f>
        <v>0</v>
      </c>
      <c r="J62" s="14">
        <f t="shared" ref="J62:J64" si="31">F62-B62</f>
        <v>0</v>
      </c>
      <c r="K62" s="793">
        <f t="shared" ref="K62:K64" si="32">G62-C62</f>
        <v>0</v>
      </c>
      <c r="L62" s="166">
        <f t="shared" ref="L62:L64" si="33">H62-D62</f>
        <v>0</v>
      </c>
      <c r="M62" s="105">
        <f>SUMIFS('Payment Registry'!C13:C1013,'Payment Registry'!L13:L1013,"Chapter - Accountant Fees",'Payment Registry'!B13:B1013,"7")</f>
        <v>0</v>
      </c>
      <c r="N62" s="680">
        <f>SUMIFS('Payment Registry'!C13:C1013,'Payment Registry'!L13:L1013,"Chapter - Accountant Fees",'Payment Registry'!B13:B1013,"8")</f>
        <v>0</v>
      </c>
      <c r="O62" s="106">
        <f>SUMIFS('Payment Registry'!C13:C1013,'Payment Registry'!L13:L1013,"Chapter - Accountant Fees",'Payment Registry'!B13:B1013,"9")</f>
        <v>0</v>
      </c>
      <c r="P62" s="680">
        <f>SUMIFS('Payment Registry'!C13:C1013,'Payment Registry'!L13:L1013,"Chapter - Accountant Fees",'Payment Registry'!B13:B1013,"10")</f>
        <v>0</v>
      </c>
      <c r="Q62" s="106">
        <f>SUMIFS('Payment Registry'!C13:C1013,'Payment Registry'!L13:L1013,"Chapter - Accountant Fees",'Payment Registry'!B13:B1013,"11")</f>
        <v>0</v>
      </c>
      <c r="R62" s="680">
        <f>SUMIFS('Payment Registry'!C13:C1013,'Payment Registry'!L13:L1013,"Chapter - Accountant Fees",'Payment Registry'!B13:B1013,"12")</f>
        <v>0</v>
      </c>
      <c r="S62" s="106">
        <f>SUMIFS('Payment Registry'!C13:C1013,'Payment Registry'!L13:L1013,"Chapter - Accountant Fees",'Payment Registry'!B13:B1013,"1")</f>
        <v>0</v>
      </c>
      <c r="T62" s="680">
        <f>SUMIFS('Payment Registry'!C13:C1013,'Payment Registry'!L13:L1013,"Chapter - Accountant Fees",'Payment Registry'!B13:B1013,"2")</f>
        <v>0</v>
      </c>
      <c r="U62" s="106">
        <f>SUMIFS('Payment Registry'!C13:C1013,'Payment Registry'!L13:L1013,"Chapter - Accountant Fees",'Payment Registry'!B13:B1013,"3")</f>
        <v>0</v>
      </c>
      <c r="V62" s="680">
        <f>SUMIFS('Payment Registry'!C13:C1013,'Payment Registry'!L13:L1013,"Chapter - Accountant Fees",'Payment Registry'!B13:B1013,"4")</f>
        <v>0</v>
      </c>
      <c r="W62" s="106">
        <f>SUMIFS('Payment Registry'!C13:C1013,'Payment Registry'!L13:L1013,"Chapter - Accountant Fees",'Payment Registry'!B13:B1013,"5")</f>
        <v>0</v>
      </c>
      <c r="X62" s="680">
        <f>SUMIFS('Payment Registry'!C13:C1013,'Payment Registry'!L13:L1013,"Chapter - Accountant Fees",'Payment Registry'!B13:B1013,"6")</f>
        <v>0</v>
      </c>
    </row>
    <row r="63" spans="1:24" ht="15" x14ac:dyDescent="0.35">
      <c r="A63" s="274" t="s">
        <v>216</v>
      </c>
      <c r="B63" s="649">
        <f>'Ch Operations Budget Worksheet'!E18</f>
        <v>0</v>
      </c>
      <c r="C63" s="650">
        <f>'Ch Operations Budget Worksheet'!J18</f>
        <v>0</v>
      </c>
      <c r="D63" s="649">
        <f>SUM(B63:C63)</f>
        <v>0</v>
      </c>
      <c r="F63" s="81">
        <f t="shared" si="27"/>
        <v>0</v>
      </c>
      <c r="G63" s="650">
        <f t="shared" si="28"/>
        <v>0</v>
      </c>
      <c r="H63" s="649">
        <f t="shared" si="30"/>
        <v>0</v>
      </c>
      <c r="J63" s="81">
        <f t="shared" si="31"/>
        <v>0</v>
      </c>
      <c r="K63" s="650">
        <f t="shared" si="32"/>
        <v>0</v>
      </c>
      <c r="L63" s="649">
        <f t="shared" si="33"/>
        <v>0</v>
      </c>
      <c r="M63" s="111">
        <f>SUMIFS('Payment Registry'!C13:C1013,'Payment Registry'!L13:L1013,"Chapter - Form 990 - CPA filing fee(s)",'Payment Registry'!B13:B1013,"7")</f>
        <v>0</v>
      </c>
      <c r="N63" s="684">
        <f>SUMIFS('Payment Registry'!C13:C1013,'Payment Registry'!L13:L1013,"Chapter - Form 990 - CPA filing fee(s)",'Payment Registry'!B13:B1013,"8")</f>
        <v>0</v>
      </c>
      <c r="O63" s="112">
        <f>SUMIFS('Payment Registry'!C13:C1013,'Payment Registry'!L13:L1013,"Chapter - Form 990 - CPA filing fee(s)",'Payment Registry'!B13:B1013,"9")</f>
        <v>0</v>
      </c>
      <c r="P63" s="684">
        <f>SUMIFS('Payment Registry'!C13:C1013,'Payment Registry'!L13:L1013,"Chapter - Form 990 - CPA filing fee(s)",'Payment Registry'!B13:B1013,"10")</f>
        <v>0</v>
      </c>
      <c r="Q63" s="112">
        <f>SUMIFS('Payment Registry'!C13:C1013,'Payment Registry'!L13:L1013,"Chapter - Form 990 - CPA filing fee(s)",'Payment Registry'!B13:B1013,"11")</f>
        <v>0</v>
      </c>
      <c r="R63" s="684">
        <f>SUMIFS('Payment Registry'!C13:C1013,'Payment Registry'!L13:L1013,"Chapter - Form 990 - CPA filing fee(s)",'Payment Registry'!B13:B1013,"12")</f>
        <v>0</v>
      </c>
      <c r="S63" s="112">
        <f>SUMIFS('Payment Registry'!C13:C1013,'Payment Registry'!L13:L1013,"Chapter - Form 990 - CPA filing fee(s)",'Payment Registry'!B13:B1013,"1")</f>
        <v>0</v>
      </c>
      <c r="T63" s="684">
        <f>SUMIFS('Payment Registry'!C13:C1013,'Payment Registry'!L13:L1013,"Chapter - Form 990 - CPA filing fee(s)",'Payment Registry'!B13:B1013,"2")</f>
        <v>0</v>
      </c>
      <c r="U63" s="112">
        <f>SUMIFS('Payment Registry'!C13:C1013,'Payment Registry'!L13:L1013,"Chapter - Form 990 - CPA filing fee(s)",'Payment Registry'!B13:B1013,"3")</f>
        <v>0</v>
      </c>
      <c r="V63" s="684">
        <f>SUMIFS('Payment Registry'!C13:C1013,'Payment Registry'!L13:L1013,"Chapter - Form 990 - CPA filing fee(s)",'Payment Registry'!B13:B1013,"4")</f>
        <v>0</v>
      </c>
      <c r="W63" s="112">
        <f>SUMIFS('Payment Registry'!C13:C1013,'Payment Registry'!L13:L1013,"Chapter - Form 990 - CPA filing fee(s)",'Payment Registry'!B13:B1013,"5")</f>
        <v>0</v>
      </c>
      <c r="X63" s="684">
        <f>SUMIFS('Payment Registry'!C13:C1013,'Payment Registry'!L13:L1013,"Chapter - Form 990 - CPA filing fee(s)",'Payment Registry'!B13:B1013,"6")</f>
        <v>0</v>
      </c>
    </row>
    <row r="64" spans="1:24" ht="15" x14ac:dyDescent="0.35">
      <c r="A64" s="276" t="s">
        <v>56</v>
      </c>
      <c r="B64" s="292">
        <f>SUM(B62:B63)</f>
        <v>0</v>
      </c>
      <c r="C64" s="291">
        <f>SUM(C62:C63)</f>
        <v>0</v>
      </c>
      <c r="D64" s="292">
        <f>SUM(D62:D63)</f>
        <v>0</v>
      </c>
      <c r="F64" s="126">
        <f>SUM(F62:F63)</f>
        <v>0</v>
      </c>
      <c r="G64" s="291">
        <f>SUM(G62:G63)</f>
        <v>0</v>
      </c>
      <c r="H64" s="292">
        <f>SUM(H62:H63)</f>
        <v>0</v>
      </c>
      <c r="J64" s="126">
        <f t="shared" si="31"/>
        <v>0</v>
      </c>
      <c r="K64" s="291">
        <f t="shared" si="32"/>
        <v>0</v>
      </c>
      <c r="L64" s="292">
        <f t="shared" si="33"/>
        <v>0</v>
      </c>
      <c r="M64" s="127">
        <f t="shared" ref="M64:X64" si="34">SUM(M62:M63)</f>
        <v>0</v>
      </c>
      <c r="N64" s="696">
        <f t="shared" si="34"/>
        <v>0</v>
      </c>
      <c r="O64" s="128">
        <f t="shared" si="34"/>
        <v>0</v>
      </c>
      <c r="P64" s="696">
        <f t="shared" si="34"/>
        <v>0</v>
      </c>
      <c r="Q64" s="128">
        <f t="shared" si="34"/>
        <v>0</v>
      </c>
      <c r="R64" s="696">
        <f t="shared" si="34"/>
        <v>0</v>
      </c>
      <c r="S64" s="128">
        <f t="shared" si="34"/>
        <v>0</v>
      </c>
      <c r="T64" s="696">
        <f t="shared" si="34"/>
        <v>0</v>
      </c>
      <c r="U64" s="128">
        <f t="shared" si="34"/>
        <v>0</v>
      </c>
      <c r="V64" s="696">
        <f t="shared" si="34"/>
        <v>0</v>
      </c>
      <c r="W64" s="128">
        <f t="shared" si="34"/>
        <v>0</v>
      </c>
      <c r="X64" s="696">
        <f t="shared" si="34"/>
        <v>0</v>
      </c>
    </row>
    <row r="65" spans="1:24" ht="15.75" x14ac:dyDescent="0.4">
      <c r="A65" s="273"/>
      <c r="B65" s="651"/>
      <c r="C65" s="652"/>
      <c r="D65" s="651"/>
      <c r="G65" s="426"/>
      <c r="H65" s="156"/>
      <c r="K65" s="426"/>
      <c r="L65" s="156"/>
      <c r="M65" s="105"/>
      <c r="N65" s="680"/>
      <c r="O65" s="106"/>
      <c r="P65" s="680"/>
      <c r="Q65" s="106"/>
      <c r="R65" s="680"/>
      <c r="S65" s="106"/>
      <c r="T65" s="680"/>
      <c r="U65" s="106"/>
      <c r="V65" s="680"/>
      <c r="W65" s="106"/>
      <c r="X65" s="680"/>
    </row>
    <row r="66" spans="1:24" ht="15" x14ac:dyDescent="0.35">
      <c r="A66" s="276" t="s">
        <v>61</v>
      </c>
      <c r="B66" s="292">
        <f>'Ch Operations Budget Worksheet'!E19</f>
        <v>0</v>
      </c>
      <c r="C66" s="291">
        <f>'Ch Operations Budget Worksheet'!J19</f>
        <v>0</v>
      </c>
      <c r="D66" s="292">
        <f>SUM(B66:C66)</f>
        <v>0</v>
      </c>
      <c r="F66" s="126">
        <f t="shared" ref="F66" si="35">SUM(M66:R66)</f>
        <v>0</v>
      </c>
      <c r="G66" s="291">
        <f t="shared" ref="G66" si="36">SUM(S66:X66)</f>
        <v>0</v>
      </c>
      <c r="H66" s="292">
        <f t="shared" ref="H66:H68" si="37">SUM(F66:G66)</f>
        <v>0</v>
      </c>
      <c r="J66" s="126">
        <f t="shared" ref="J66:L66" si="38">F66-B66</f>
        <v>0</v>
      </c>
      <c r="K66" s="291">
        <f t="shared" si="38"/>
        <v>0</v>
      </c>
      <c r="L66" s="292">
        <f t="shared" si="38"/>
        <v>0</v>
      </c>
      <c r="M66" s="127">
        <f>SUMIFS('Payment Registry'!C13:C1013,'Payment Registry'!L13:L1013,"Chapter - Banking Related Expenses",'Payment Registry'!B13:B1013,"7")</f>
        <v>0</v>
      </c>
      <c r="N66" s="696">
        <f>SUMIFS('Payment Registry'!C13:C1013,'Payment Registry'!L13:L1013,"Chapter - Banking Related Expenses",'Payment Registry'!B13:B1013,"8")</f>
        <v>0</v>
      </c>
      <c r="O66" s="128">
        <f>SUMIFS('Payment Registry'!C13:C1013,'Payment Registry'!L13:L1013,"Chapter - Banking Related Expenses",'Payment Registry'!B13:B1013,"9")</f>
        <v>0</v>
      </c>
      <c r="P66" s="696">
        <f>SUMIFS('Payment Registry'!C13:C1013,'Payment Registry'!L13:L1013,"Chapter - Banking Related Expenses",'Payment Registry'!B13:B1013,"10")</f>
        <v>0</v>
      </c>
      <c r="Q66" s="128">
        <f>SUMIFS('Payment Registry'!C13:C1013,'Payment Registry'!L13:L1013,"Chapter - Banking Related Expenses",'Payment Registry'!B13:B1013,"11")</f>
        <v>0</v>
      </c>
      <c r="R66" s="696">
        <f>SUMIFS('Payment Registry'!C13:C1013,'Payment Registry'!L13:L1013,"Chapter - Banking Related Expenses",'Payment Registry'!B13:B1013,"12")</f>
        <v>0</v>
      </c>
      <c r="S66" s="128">
        <f>SUMIFS('Payment Registry'!C13:C1013,'Payment Registry'!L13:L1013,"Chapter - Banking Related Expenses",'Payment Registry'!B13:B1013,"1")</f>
        <v>0</v>
      </c>
      <c r="T66" s="696">
        <f>SUMIFS('Payment Registry'!C13:C1013,'Payment Registry'!L13:L1013,"Chapter - Banking Related Expenses",'Payment Registry'!B13:B1013,"2")</f>
        <v>0</v>
      </c>
      <c r="U66" s="128">
        <f>SUMIFS('Payment Registry'!C13:C1013,'Payment Registry'!L13:L1013,"Chapter - Banking Related Expenses",'Payment Registry'!B13:B1013,"3")</f>
        <v>0</v>
      </c>
      <c r="V66" s="696">
        <f>SUMIFS('Payment Registry'!C13:C1013,'Payment Registry'!L13:L1013,"Chapter - Banking Related Expenses",'Payment Registry'!B13:B1013,"4")</f>
        <v>0</v>
      </c>
      <c r="W66" s="128">
        <f>SUMIFS('Payment Registry'!C13:C1013,'Payment Registry'!L13:L1013,"Chapter - Banking Related Expenses",'Payment Registry'!B13:B1013,"5")</f>
        <v>0</v>
      </c>
      <c r="X66" s="696">
        <f>SUMIFS('Payment Registry'!C13:C1013,'Payment Registry'!L13:L1013,"Chapter - Banking Related Expenses",'Payment Registry'!B13:B1013,"6")</f>
        <v>0</v>
      </c>
    </row>
    <row r="67" spans="1:24" ht="15" x14ac:dyDescent="0.35">
      <c r="A67" s="276"/>
      <c r="B67" s="292"/>
      <c r="C67" s="291"/>
      <c r="D67" s="292"/>
      <c r="G67" s="426"/>
      <c r="H67" s="156"/>
      <c r="K67" s="426"/>
      <c r="L67" s="156"/>
      <c r="M67" s="105"/>
      <c r="N67" s="680"/>
      <c r="O67" s="106"/>
      <c r="P67" s="680"/>
      <c r="Q67" s="106"/>
      <c r="R67" s="680"/>
      <c r="S67" s="106"/>
      <c r="T67" s="680"/>
      <c r="U67" s="106"/>
      <c r="V67" s="680"/>
      <c r="W67" s="106"/>
      <c r="X67" s="680"/>
    </row>
    <row r="68" spans="1:24" ht="15" x14ac:dyDescent="0.35">
      <c r="A68" s="276" t="s">
        <v>80</v>
      </c>
      <c r="B68" s="292">
        <f>'Ch Operations Budget Worksheet'!E22</f>
        <v>0</v>
      </c>
      <c r="C68" s="291">
        <f>'Ch Operations Budget Worksheet'!J22</f>
        <v>0</v>
      </c>
      <c r="D68" s="292">
        <f>SUM(B68:C68)</f>
        <v>0</v>
      </c>
      <c r="F68" s="126">
        <f t="shared" ref="F68" si="39">SUM(M68:R68)</f>
        <v>0</v>
      </c>
      <c r="G68" s="291">
        <f t="shared" ref="G68" si="40">SUM(S68:X68)</f>
        <v>0</v>
      </c>
      <c r="H68" s="292">
        <f t="shared" si="37"/>
        <v>0</v>
      </c>
      <c r="J68" s="126">
        <f t="shared" ref="J68:L68" si="41">F68-B68</f>
        <v>0</v>
      </c>
      <c r="K68" s="291">
        <f t="shared" si="41"/>
        <v>0</v>
      </c>
      <c r="L68" s="292">
        <f t="shared" si="41"/>
        <v>0</v>
      </c>
      <c r="M68" s="127">
        <f>SUMIFS('Payment Registry'!C13:C1013,'Payment Registry'!L13:L1013,"Chapter - Debt Expense/Payment",'Payment Registry'!B13:B1013,"7")</f>
        <v>0</v>
      </c>
      <c r="N68" s="696">
        <f>SUMIFS('Payment Registry'!C13:C1013,'Payment Registry'!L13:L1013,"Chapter - Debt Expense/Payment",'Payment Registry'!B13:B1013,"8")</f>
        <v>0</v>
      </c>
      <c r="O68" s="128">
        <f>SUMIFS('Payment Registry'!C13:C1013,'Payment Registry'!L13:L1013,"Chapter - Debt Expense/Payment",'Payment Registry'!B13:B1013,"9")</f>
        <v>0</v>
      </c>
      <c r="P68" s="696">
        <f>SUMIFS('Payment Registry'!C13:C1013,'Payment Registry'!L13:L1013,"Chapter - Debt Expense/Payment",'Payment Registry'!B13:B1013,"10")</f>
        <v>0</v>
      </c>
      <c r="Q68" s="128">
        <f>SUMIFS('Payment Registry'!C13:C1013,'Payment Registry'!L13:L1013,"Chapter - Debt Expense/Payment",'Payment Registry'!B13:B1013,"11")</f>
        <v>0</v>
      </c>
      <c r="R68" s="696">
        <f>SUMIFS('Payment Registry'!C13:C1013,'Payment Registry'!L13:L1013,"Chapter - Debt Expense/Payment",'Payment Registry'!B13:B1013,"12")</f>
        <v>0</v>
      </c>
      <c r="S68" s="128">
        <f>SUMIFS('Payment Registry'!C13:C1013,'Payment Registry'!L13:L1013,"Chapter - Debt Expense/Payment",'Payment Registry'!B13:B1013,"1")</f>
        <v>0</v>
      </c>
      <c r="T68" s="696">
        <f>SUMIFS('Payment Registry'!C13:C1013,'Payment Registry'!L13:L1013,"Chapter - Debt Expense/Payment",'Payment Registry'!B13:B1013,"2")</f>
        <v>0</v>
      </c>
      <c r="U68" s="128">
        <f>SUMIFS('Payment Registry'!C13:C1013,'Payment Registry'!L13:L1013,"Chapter - Debt Expense/Payment",'Payment Registry'!B13:B1013,"3")</f>
        <v>0</v>
      </c>
      <c r="V68" s="696">
        <f>SUMIFS('Payment Registry'!C13:C1013,'Payment Registry'!L13:L1013,"Chapter - Debt Expense/Payment",'Payment Registry'!B13:B1013,"4")</f>
        <v>0</v>
      </c>
      <c r="W68" s="128">
        <f>SUMIFS('Payment Registry'!C13:C1013,'Payment Registry'!L13:L1013,"Chapter - Debt Expense/Payment",'Payment Registry'!B13:B1013,"5")</f>
        <v>0</v>
      </c>
      <c r="X68" s="696">
        <f>SUMIFS('Payment Registry'!C13:C1013,'Payment Registry'!L13:L1013,"Chapter - Debt Expense/Payment",'Payment Registry'!B13:B1013,"6")</f>
        <v>0</v>
      </c>
    </row>
    <row r="69" spans="1:24" ht="15" x14ac:dyDescent="0.35">
      <c r="A69" s="276"/>
      <c r="B69" s="292"/>
      <c r="C69" s="291"/>
      <c r="D69" s="292"/>
      <c r="F69" s="126"/>
      <c r="G69" s="291"/>
      <c r="H69" s="292"/>
      <c r="J69" s="126"/>
      <c r="K69" s="291"/>
      <c r="L69" s="292"/>
      <c r="M69" s="127"/>
      <c r="N69" s="696"/>
      <c r="O69" s="128"/>
      <c r="P69" s="696"/>
      <c r="Q69" s="128"/>
      <c r="R69" s="696"/>
      <c r="S69" s="128"/>
      <c r="T69" s="696"/>
      <c r="U69" s="128"/>
      <c r="V69" s="696"/>
      <c r="W69" s="128"/>
      <c r="X69" s="696"/>
    </row>
    <row r="70" spans="1:24" ht="15" x14ac:dyDescent="0.35">
      <c r="A70" s="276" t="s">
        <v>346</v>
      </c>
      <c r="B70" s="292">
        <f>'House-Kitchen Budget Worksheet'!H53</f>
        <v>0</v>
      </c>
      <c r="C70" s="291">
        <f>'House-Kitchen Budget Worksheet'!H54</f>
        <v>0</v>
      </c>
      <c r="D70" s="292">
        <f>SUM(B70:C70)</f>
        <v>0</v>
      </c>
      <c r="F70" s="126">
        <f>SUM(M70:R70)</f>
        <v>0</v>
      </c>
      <c r="G70" s="291">
        <f>SUM(S70:X70)</f>
        <v>0</v>
      </c>
      <c r="H70" s="292">
        <f>SUM(F70:G70)</f>
        <v>0</v>
      </c>
      <c r="J70" s="126">
        <f>F70-B70</f>
        <v>0</v>
      </c>
      <c r="K70" s="291">
        <f>G70-C70</f>
        <v>0</v>
      </c>
      <c r="L70" s="292">
        <f>SUM(J70:K70)</f>
        <v>0</v>
      </c>
      <c r="M70" s="127">
        <f>SUMIFS('Payment Registry'!C13:C1013,'Payment Registry'!L13:L1013,"Chapter - Empty Bed Transfer (Chapter to Housing)",'Payment Registry'!B13:B1013,"7")</f>
        <v>0</v>
      </c>
      <c r="N70" s="696">
        <f>SUMIFS('Payment Registry'!C13:C1013,'Payment Registry'!L13:L1013,"Chapter - Empty Bed Transfer (Chapter to Housing)",'Payment Registry'!B13:B1013,"8")</f>
        <v>0</v>
      </c>
      <c r="O70" s="128">
        <f>SUMIFS('Payment Registry'!C13:C1013,'Payment Registry'!L13:L1013,"Chapter - Empty Bed Transfer (Chapter to Housing)",'Payment Registry'!B13:B1013,"9")</f>
        <v>0</v>
      </c>
      <c r="P70" s="696">
        <f>SUMIFS('Payment Registry'!C13:C1013,'Payment Registry'!L13:L1013,"Chapter - Empty Bed Transfer (Chapter to Housing)",'Payment Registry'!B13:B1013,"10")</f>
        <v>0</v>
      </c>
      <c r="Q70" s="128">
        <f>SUMIFS('Payment Registry'!C13:C1013,'Payment Registry'!L13:L1013,"Chapter - Empty Bed Transfer (Chapter to Housing)",'Payment Registry'!B13:B1013,"11")</f>
        <v>0</v>
      </c>
      <c r="R70" s="696">
        <f>SUMIFS('Payment Registry'!C13:C1013,'Payment Registry'!L13:L1013,"Chapter - Empty Bed Transfer (Chapter to Housing)",'Payment Registry'!B13:B1013,"12")</f>
        <v>0</v>
      </c>
      <c r="S70" s="128">
        <f>SUMIFS('Payment Registry'!C13:C1013,'Payment Registry'!L13:L1013,"Chapter - Empty Bed Transfer (Chapter to Housing)",'Payment Registry'!B13:B1013,"1")</f>
        <v>0</v>
      </c>
      <c r="T70" s="696">
        <f>SUMIFS('Payment Registry'!C13:C1013,'Payment Registry'!L13:L1013,"Chapter - Empty Bed Transfer (Chapter to Housing)",'Payment Registry'!B13:B1013,"2")</f>
        <v>0</v>
      </c>
      <c r="U70" s="128">
        <f>SUMIFS('Payment Registry'!C13:C1013,'Payment Registry'!L13:L1013,"Chapter - Empty Bed Transfer (Chapter to Housing)",'Payment Registry'!B13:B1013,"3")</f>
        <v>0</v>
      </c>
      <c r="V70" s="696">
        <f>SUMIFS('Payment Registry'!C13:C1013,'Payment Registry'!L13:L1013,"Chapter - Empty Bed Transfer (Chapter to Housing)",'Payment Registry'!B13:B1013,"4")</f>
        <v>0</v>
      </c>
      <c r="W70" s="128">
        <f>SUMIFS('Payment Registry'!C13:C1013,'Payment Registry'!L13:L1013,"Chapter - Empty Bed Transfer (Chapter to Housing)",'Payment Registry'!B13:B1013,"5")</f>
        <v>0</v>
      </c>
      <c r="X70" s="696">
        <f>SUMIFS('Payment Registry'!C13:C1013,'Payment Registry'!L13:L1013,"Chapter - Empty Bed Transfer (Chapter to Housing)",'Payment Registry'!B13:B1013,"6")</f>
        <v>0</v>
      </c>
    </row>
    <row r="71" spans="1:24" ht="15.75" x14ac:dyDescent="0.4">
      <c r="A71" s="273"/>
      <c r="B71" s="108"/>
      <c r="C71" s="129"/>
      <c r="D71" s="108"/>
      <c r="G71" s="119"/>
      <c r="K71" s="119"/>
      <c r="M71" s="105"/>
      <c r="N71" s="680"/>
      <c r="O71" s="106"/>
      <c r="P71" s="680"/>
      <c r="Q71" s="106"/>
      <c r="R71" s="680"/>
      <c r="S71" s="106"/>
      <c r="T71" s="680"/>
      <c r="U71" s="106"/>
      <c r="V71" s="680"/>
      <c r="W71" s="106"/>
      <c r="X71" s="680"/>
    </row>
    <row r="72" spans="1:24" ht="15.75" x14ac:dyDescent="0.4">
      <c r="A72" s="263" t="s">
        <v>76</v>
      </c>
      <c r="B72" s="108">
        <f>B58+B60+B64+B66+B68+B70</f>
        <v>1400</v>
      </c>
      <c r="C72" s="129">
        <f>C58+C60+C64+C66+C68+C70</f>
        <v>1400</v>
      </c>
      <c r="D72" s="108">
        <f>SUM(B72:C72)</f>
        <v>2800</v>
      </c>
      <c r="F72" s="108">
        <f>F58+F60+F64+F66+F68+F70</f>
        <v>0</v>
      </c>
      <c r="G72" s="129">
        <f>G58+G60+G64+G66+G68+G70</f>
        <v>0</v>
      </c>
      <c r="H72" s="108">
        <f>SUM(F72:G72)</f>
        <v>0</v>
      </c>
      <c r="J72" s="108">
        <f t="shared" ref="J72:L72" si="42">F72-B72</f>
        <v>-1400</v>
      </c>
      <c r="K72" s="129">
        <f t="shared" si="42"/>
        <v>-1400</v>
      </c>
      <c r="L72" s="108">
        <f t="shared" si="42"/>
        <v>-2800</v>
      </c>
      <c r="M72" s="118">
        <f t="shared" ref="M72:V72" si="43">M58+M60+M64+M66+M68</f>
        <v>0</v>
      </c>
      <c r="N72" s="685">
        <f t="shared" si="43"/>
        <v>0</v>
      </c>
      <c r="O72" s="117">
        <f t="shared" si="43"/>
        <v>0</v>
      </c>
      <c r="P72" s="685">
        <f t="shared" si="43"/>
        <v>0</v>
      </c>
      <c r="Q72" s="117">
        <f t="shared" si="43"/>
        <v>0</v>
      </c>
      <c r="R72" s="685">
        <f t="shared" si="43"/>
        <v>0</v>
      </c>
      <c r="S72" s="117">
        <f t="shared" si="43"/>
        <v>0</v>
      </c>
      <c r="T72" s="685">
        <f t="shared" si="43"/>
        <v>0</v>
      </c>
      <c r="U72" s="117">
        <f t="shared" si="43"/>
        <v>0</v>
      </c>
      <c r="V72" s="685">
        <f t="shared" si="43"/>
        <v>0</v>
      </c>
      <c r="W72" s="117">
        <f t="shared" ref="W72:X72" si="44">W58+W60+W64+W66+W68</f>
        <v>0</v>
      </c>
      <c r="X72" s="685">
        <f t="shared" si="44"/>
        <v>0</v>
      </c>
    </row>
    <row r="73" spans="1:24" ht="6" customHeight="1" x14ac:dyDescent="0.4">
      <c r="A73" s="263"/>
      <c r="B73" s="108"/>
      <c r="C73" s="129"/>
      <c r="D73" s="108"/>
      <c r="G73" s="119"/>
      <c r="K73" s="119"/>
      <c r="M73" s="105"/>
      <c r="N73" s="680"/>
      <c r="O73" s="106"/>
      <c r="P73" s="680"/>
      <c r="Q73" s="106"/>
      <c r="R73" s="680"/>
      <c r="S73" s="106"/>
      <c r="T73" s="680"/>
      <c r="U73" s="106"/>
      <c r="V73" s="680"/>
      <c r="W73" s="106"/>
      <c r="X73" s="680"/>
    </row>
    <row r="74" spans="1:24" s="130" customFormat="1" ht="30" x14ac:dyDescent="0.25">
      <c r="A74" s="401" t="s">
        <v>96</v>
      </c>
      <c r="B74" s="621">
        <f>B20-B72</f>
        <v>-1400</v>
      </c>
      <c r="C74" s="622">
        <f>C20-C72</f>
        <v>-1400</v>
      </c>
      <c r="D74" s="622">
        <f>SUM(B74:C74)</f>
        <v>-2800</v>
      </c>
      <c r="E74" s="623"/>
      <c r="F74" s="622">
        <f>F20-F72</f>
        <v>0</v>
      </c>
      <c r="G74" s="622">
        <f>G20-G72</f>
        <v>0</v>
      </c>
      <c r="H74" s="622">
        <f>SUM(F74:G74)</f>
        <v>0</v>
      </c>
      <c r="I74" s="623"/>
      <c r="J74" s="622">
        <f t="shared" ref="J74:L74" si="45">F74-B74</f>
        <v>1400</v>
      </c>
      <c r="K74" s="622">
        <f t="shared" si="45"/>
        <v>1400</v>
      </c>
      <c r="L74" s="624">
        <f t="shared" si="45"/>
        <v>2800</v>
      </c>
      <c r="M74" s="625">
        <f t="shared" ref="M74:X74" si="46">M20-M72</f>
        <v>0</v>
      </c>
      <c r="N74" s="626">
        <f t="shared" si="46"/>
        <v>0</v>
      </c>
      <c r="O74" s="626">
        <f t="shared" si="46"/>
        <v>0</v>
      </c>
      <c r="P74" s="626">
        <f t="shared" si="46"/>
        <v>0</v>
      </c>
      <c r="Q74" s="626">
        <f t="shared" si="46"/>
        <v>0</v>
      </c>
      <c r="R74" s="626">
        <f t="shared" si="46"/>
        <v>0</v>
      </c>
      <c r="S74" s="626">
        <f t="shared" si="46"/>
        <v>0</v>
      </c>
      <c r="T74" s="626">
        <f t="shared" si="46"/>
        <v>0</v>
      </c>
      <c r="U74" s="626">
        <f t="shared" si="46"/>
        <v>0</v>
      </c>
      <c r="V74" s="626">
        <f t="shared" si="46"/>
        <v>0</v>
      </c>
      <c r="W74" s="626">
        <f t="shared" si="46"/>
        <v>0</v>
      </c>
      <c r="X74" s="626">
        <f t="shared" si="46"/>
        <v>0</v>
      </c>
    </row>
    <row r="75" spans="1:24" ht="6" customHeight="1" x14ac:dyDescent="0.2">
      <c r="A75" s="264"/>
      <c r="C75" s="119"/>
      <c r="G75" s="119"/>
      <c r="K75" s="119"/>
      <c r="M75" s="105"/>
      <c r="N75" s="680"/>
      <c r="O75" s="106"/>
      <c r="P75" s="680"/>
      <c r="Q75" s="106"/>
      <c r="R75" s="680"/>
      <c r="S75" s="106"/>
      <c r="T75" s="680"/>
      <c r="U75" s="106"/>
      <c r="V75" s="680"/>
      <c r="W75" s="106"/>
      <c r="X75" s="680"/>
    </row>
    <row r="76" spans="1:24" ht="15.75" x14ac:dyDescent="0.25">
      <c r="A76" s="278" t="s">
        <v>305</v>
      </c>
      <c r="C76" s="119"/>
      <c r="G76" s="119"/>
      <c r="K76" s="119"/>
      <c r="M76" s="105"/>
      <c r="N76" s="680"/>
      <c r="O76" s="106"/>
      <c r="P76" s="680"/>
      <c r="Q76" s="106"/>
      <c r="R76" s="680"/>
      <c r="S76" s="106"/>
      <c r="T76" s="680"/>
      <c r="U76" s="106"/>
      <c r="V76" s="680"/>
      <c r="W76" s="106"/>
      <c r="X76" s="680"/>
    </row>
    <row r="77" spans="1:24" x14ac:dyDescent="0.2">
      <c r="A77" s="274" t="s">
        <v>217</v>
      </c>
      <c r="B77" s="14">
        <f>'Ch Operations Budget Worksheet'!D35</f>
        <v>0</v>
      </c>
      <c r="C77" s="793">
        <f>'Ch Operations Budget Worksheet'!I35</f>
        <v>0</v>
      </c>
      <c r="D77" s="166">
        <f t="shared" ref="D77" si="47">SUM(B77:C77)</f>
        <v>0</v>
      </c>
      <c r="F77" s="14">
        <f t="shared" ref="F77:F101" si="48">SUM(M77:R77)</f>
        <v>0</v>
      </c>
      <c r="G77" s="793">
        <f t="shared" ref="G77:G101" si="49">SUM(S77:X77)</f>
        <v>0</v>
      </c>
      <c r="H77" s="166">
        <f t="shared" ref="H77:H101" si="50">SUM(F77:G77)</f>
        <v>0</v>
      </c>
      <c r="J77" s="14">
        <f t="shared" ref="J77:J103" si="51">F77-B77</f>
        <v>0</v>
      </c>
      <c r="K77" s="793">
        <f t="shared" ref="K77:K103" si="52">G77-C77</f>
        <v>0</v>
      </c>
      <c r="L77" s="166">
        <f t="shared" ref="L77:L103" si="53">H77-D77</f>
        <v>0</v>
      </c>
      <c r="M77" s="105">
        <f>SUMIFS('Payment Registry'!C13:C1013,'Payment Registry'!L13:L1013,"Chapter - Savings Fund",'Payment Registry'!B13:B1013,"7")</f>
        <v>0</v>
      </c>
      <c r="N77" s="680">
        <f>SUMIFS('Payment Registry'!C13:C1013,'Payment Registry'!L13:L1013,"Chapter - Savings Fund",'Payment Registry'!B13:B1013,"8")</f>
        <v>0</v>
      </c>
      <c r="O77" s="106">
        <f>SUMIFS('Payment Registry'!C13:C1013,'Payment Registry'!L13:L1013,"Chapter - Savings Fund",'Payment Registry'!B13:B1013,"9")</f>
        <v>0</v>
      </c>
      <c r="P77" s="680">
        <f>SUMIFS('Payment Registry'!C13:C1013,'Payment Registry'!L13:L1013,"Chapter - Savings Fund",'Payment Registry'!B13:B1013,"10")</f>
        <v>0</v>
      </c>
      <c r="Q77" s="106">
        <f>SUMIFS('Payment Registry'!C13:C1013,'Payment Registry'!L13:L1013,"Chapter - Savings Fund",'Payment Registry'!B13:B1013,"11")</f>
        <v>0</v>
      </c>
      <c r="R77" s="680">
        <f>SUMIFS('Payment Registry'!C13:C1013,'Payment Registry'!L13:L1013,"Chapter - Savings Fund",'Payment Registry'!B13:B1013,"12")</f>
        <v>0</v>
      </c>
      <c r="S77" s="106">
        <f>SUMIFS('Payment Registry'!C13:C1013,'Payment Registry'!L13:L1013,"Chapter - Savings Fund",'Payment Registry'!B13:B1013,"1")</f>
        <v>0</v>
      </c>
      <c r="T77" s="680">
        <f>SUMIFS('Payment Registry'!C13:C1013,'Payment Registry'!L13:L1013,"Chapter - Savings Fund",'Payment Registry'!B13:B1013,"2")</f>
        <v>0</v>
      </c>
      <c r="U77" s="106">
        <f>SUMIFS('Payment Registry'!C13:C1013,'Payment Registry'!L13:L1013,"Chapter - Savings Fund",'Payment Registry'!B13:B1013,"3")</f>
        <v>0</v>
      </c>
      <c r="V77" s="680">
        <f>SUMIFS('Payment Registry'!C13:C1013,'Payment Registry'!L13:L1013,"Chapter - Savings Fund",'Payment Registry'!B13:B1013,"4")</f>
        <v>0</v>
      </c>
      <c r="W77" s="106">
        <f>SUMIFS('Payment Registry'!C13:C1013,'Payment Registry'!L13:L1013,"Chapter - Savings Fund",'Payment Registry'!B13:B1013,"5")</f>
        <v>0</v>
      </c>
      <c r="X77" s="680">
        <f>SUMIFS('Payment Registry'!C13:C1013,'Payment Registry'!L13:L1013,"Chapter - Savings Fund",'Payment Registry'!B13:B1013,"6")</f>
        <v>0</v>
      </c>
    </row>
    <row r="78" spans="1:24" x14ac:dyDescent="0.2">
      <c r="A78" s="274" t="s">
        <v>218</v>
      </c>
      <c r="B78" s="14">
        <f>'Ch Operations Budget Worksheet'!D36</f>
        <v>0</v>
      </c>
      <c r="C78" s="793">
        <f>'Ch Operations Budget Worksheet'!I36</f>
        <v>0</v>
      </c>
      <c r="D78" s="166">
        <f>SUM(B78:C78)</f>
        <v>0</v>
      </c>
      <c r="F78" s="14">
        <f t="shared" si="48"/>
        <v>0</v>
      </c>
      <c r="G78" s="793">
        <f t="shared" si="49"/>
        <v>0</v>
      </c>
      <c r="H78" s="166">
        <f t="shared" si="50"/>
        <v>0</v>
      </c>
      <c r="J78" s="14">
        <f t="shared" si="51"/>
        <v>0</v>
      </c>
      <c r="K78" s="793">
        <f t="shared" si="52"/>
        <v>0</v>
      </c>
      <c r="L78" s="166">
        <f t="shared" si="53"/>
        <v>0</v>
      </c>
      <c r="M78" s="105">
        <f>SUMIFS('Payment Registry'!C13:C1013,'Payment Registry'!L13:L1013,"Chapter - Recruitment",'Payment Registry'!B13:B1013,"7")</f>
        <v>0</v>
      </c>
      <c r="N78" s="680">
        <f>SUMIFS('Payment Registry'!C13:C1013,'Payment Registry'!L13:L1013,"Chapter - Recruitment",'Payment Registry'!B13:B1013,"8")</f>
        <v>0</v>
      </c>
      <c r="O78" s="106">
        <f>SUMIFS('Payment Registry'!C13:C1013,'Payment Registry'!L13:L1013,"Chapter - Recruitment",'Payment Registry'!B13:B1013,"9")</f>
        <v>0</v>
      </c>
      <c r="P78" s="680">
        <f>SUMIFS('Payment Registry'!C13:C1013,'Payment Registry'!L13:L1013,"Chapter - Recruitment",'Payment Registry'!B13:B1013,"10")</f>
        <v>0</v>
      </c>
      <c r="Q78" s="106">
        <f>SUMIFS('Payment Registry'!C13:C1013,'Payment Registry'!L13:L1013,"Chapter - Recruitment",'Payment Registry'!B13:B1013,"11")</f>
        <v>0</v>
      </c>
      <c r="R78" s="680">
        <f>SUMIFS('Payment Registry'!C13:C1013,'Payment Registry'!L13:L1013,"Chapter - Recruitment",'Payment Registry'!B13:B1013,"12")</f>
        <v>0</v>
      </c>
      <c r="S78" s="106">
        <f>SUMIFS('Payment Registry'!C13:C1013,'Payment Registry'!L13:L1013,"Chapter - Recruitment",'Payment Registry'!B13:B1013,"1")</f>
        <v>0</v>
      </c>
      <c r="T78" s="680">
        <f>SUMIFS('Payment Registry'!C13:C1013,'Payment Registry'!L13:L1013,"Chapter - Recruitment",'Payment Registry'!B13:B1013,"2")</f>
        <v>0</v>
      </c>
      <c r="U78" s="106">
        <f>SUMIFS('Payment Registry'!C13:C1013,'Payment Registry'!L13:L1013,"Chapter - Recruitment",'Payment Registry'!B13:B1013,"3")</f>
        <v>0</v>
      </c>
      <c r="V78" s="680">
        <f>SUMIFS('Payment Registry'!C13:C1013,'Payment Registry'!L13:L1013,"Chapter - Recruitment",'Payment Registry'!B13:B1013,"4")</f>
        <v>0</v>
      </c>
      <c r="W78" s="106">
        <f>SUMIFS('Payment Registry'!C13:C1013,'Payment Registry'!L13:L1013,"Chapter - Recruitment",'Payment Registry'!B13:B1013,"5")</f>
        <v>0</v>
      </c>
      <c r="X78" s="680">
        <f>SUMIFS('Payment Registry'!C13:C1013,'Payment Registry'!L13:L1013,"Chapter - Recruitment",'Payment Registry'!B13:B1013,"6")</f>
        <v>0</v>
      </c>
    </row>
    <row r="79" spans="1:24" x14ac:dyDescent="0.2">
      <c r="A79" s="274" t="s">
        <v>219</v>
      </c>
      <c r="B79" s="14">
        <f>'Ch Operations Budget Worksheet'!D37</f>
        <v>0</v>
      </c>
      <c r="C79" s="793">
        <f>'Ch Operations Budget Worksheet'!I37</f>
        <v>0</v>
      </c>
      <c r="D79" s="166">
        <f t="shared" ref="D79:D99" si="54">SUM(B79:C79)</f>
        <v>0</v>
      </c>
      <c r="F79" s="14">
        <f t="shared" si="48"/>
        <v>0</v>
      </c>
      <c r="G79" s="793">
        <f t="shared" si="49"/>
        <v>0</v>
      </c>
      <c r="H79" s="166">
        <f t="shared" si="50"/>
        <v>0</v>
      </c>
      <c r="J79" s="14">
        <f t="shared" si="51"/>
        <v>0</v>
      </c>
      <c r="K79" s="793">
        <f t="shared" si="52"/>
        <v>0</v>
      </c>
      <c r="L79" s="166">
        <f t="shared" si="53"/>
        <v>0</v>
      </c>
      <c r="M79" s="105">
        <f>SUMIFS('Payment Registry'!C13:C1013,'Payment Registry'!L13:L1013,"Chapter - Candidate Education Activities",'Payment Registry'!B13:B1013,"7")</f>
        <v>0</v>
      </c>
      <c r="N79" s="680">
        <f>SUMIFS('Payment Registry'!C13:C1013,'Payment Registry'!L13:L1013,"Chapter - Candidate Education Activities",'Payment Registry'!B13:B1013,"8")</f>
        <v>0</v>
      </c>
      <c r="O79" s="106">
        <f>SUMIFS('Payment Registry'!C13:C1013,'Payment Registry'!L13:L1013,"Chapter - Candidate Education Activities",'Payment Registry'!B13:B1013,"9")</f>
        <v>0</v>
      </c>
      <c r="P79" s="680">
        <f>SUMIFS('Payment Registry'!C13:C1013,'Payment Registry'!L13:L1013,"Chapter - Candidate Education Activities",'Payment Registry'!B13:B1013,"10")</f>
        <v>0</v>
      </c>
      <c r="Q79" s="106">
        <f>SUMIFS('Payment Registry'!C13:C1013,'Payment Registry'!L13:L1013,"Chapter - Candidate Education Activities",'Payment Registry'!B13:B1013,"11")</f>
        <v>0</v>
      </c>
      <c r="R79" s="680">
        <f>SUMIFS('Payment Registry'!C13:C1013,'Payment Registry'!L13:L1013,"Chapter - Candidate Education Activities",'Payment Registry'!B13:B1013,"12")</f>
        <v>0</v>
      </c>
      <c r="S79" s="106">
        <f>SUMIFS('Payment Registry'!C13:C1013,'Payment Registry'!L13:L1013,"Chapter - Candidate Education Activities",'Payment Registry'!B13:B1013,"1")</f>
        <v>0</v>
      </c>
      <c r="T79" s="680">
        <f>SUMIFS('Payment Registry'!C13:C1013,'Payment Registry'!L13:L1013,"Chapter - Candidate Education Activities",'Payment Registry'!B13:B1013,"2")</f>
        <v>0</v>
      </c>
      <c r="U79" s="106">
        <f>SUMIFS('Payment Registry'!C13:C1013,'Payment Registry'!L13:L1013,"Chapter - Candidate Education Activities",'Payment Registry'!B13:B1013,"3")</f>
        <v>0</v>
      </c>
      <c r="V79" s="680">
        <f>SUMIFS('Payment Registry'!C13:C1013,'Payment Registry'!L13:L1013,"Chapter - Candidate Education Activities",'Payment Registry'!B13:B1013,"4")</f>
        <v>0</v>
      </c>
      <c r="W79" s="106">
        <f>SUMIFS('Payment Registry'!C13:C1013,'Payment Registry'!L13:L1013,"Chapter - Candidate Education Activities",'Payment Registry'!B13:B1013,"5")</f>
        <v>0</v>
      </c>
      <c r="X79" s="680">
        <f>SUMIFS('Payment Registry'!C13:C1013,'Payment Registry'!L13:L1013,"Chapter - Candidate Education Activities",'Payment Registry'!B13:B1013,"6")</f>
        <v>0</v>
      </c>
    </row>
    <row r="80" spans="1:24" x14ac:dyDescent="0.2">
      <c r="A80" s="274" t="s">
        <v>220</v>
      </c>
      <c r="B80" s="14">
        <f>'Ch Operations Budget Worksheet'!D38</f>
        <v>0</v>
      </c>
      <c r="C80" s="793">
        <f>'Ch Operations Budget Worksheet'!I38</f>
        <v>0</v>
      </c>
      <c r="D80" s="166">
        <f t="shared" si="54"/>
        <v>0</v>
      </c>
      <c r="F80" s="14">
        <f t="shared" si="48"/>
        <v>0</v>
      </c>
      <c r="G80" s="793">
        <f t="shared" si="49"/>
        <v>0</v>
      </c>
      <c r="H80" s="166">
        <f t="shared" si="50"/>
        <v>0</v>
      </c>
      <c r="J80" s="14">
        <f t="shared" si="51"/>
        <v>0</v>
      </c>
      <c r="K80" s="793">
        <f t="shared" si="52"/>
        <v>0</v>
      </c>
      <c r="L80" s="166">
        <f t="shared" si="53"/>
        <v>0</v>
      </c>
      <c r="M80" s="105">
        <f>SUMIFS('Payment Registry'!C13:C1013,'Payment Registry'!L13:L1013,"Chapter - Alumni Relations/Activities",'Payment Registry'!B13:B1013,"7")</f>
        <v>0</v>
      </c>
      <c r="N80" s="680">
        <f>SUMIFS('Payment Registry'!C13:C1013,'Payment Registry'!L13:L1013,"Chapter - Alumni Relations/Activities",'Payment Registry'!B13:B1013,"8")</f>
        <v>0</v>
      </c>
      <c r="O80" s="106">
        <f>SUMIFS('Payment Registry'!C13:C1013,'Payment Registry'!L13:L1013,"Chapter - Alumni Relations/Activities",'Payment Registry'!B13:B1013,"9")</f>
        <v>0</v>
      </c>
      <c r="P80" s="680">
        <f>SUMIFS('Payment Registry'!C13:C1013,'Payment Registry'!L13:L1013,"Chapter - Alumni Relations/Activities",'Payment Registry'!B13:B1013,"10")</f>
        <v>0</v>
      </c>
      <c r="Q80" s="106">
        <f>SUMIFS('Payment Registry'!C13:C1013,'Payment Registry'!L13:L1013,"Chapter - Alumni Relations/Activities",'Payment Registry'!B13:B1013,"11")</f>
        <v>0</v>
      </c>
      <c r="R80" s="680">
        <f>SUMIFS('Payment Registry'!C13:C1013,'Payment Registry'!L13:L1013,"Chapter - Alumni Relations/Activities",'Payment Registry'!B13:B1013,"12")</f>
        <v>0</v>
      </c>
      <c r="S80" s="106">
        <f>SUMIFS('Payment Registry'!C13:C1013,'Payment Registry'!L13:L1013,"Chapter - Alumni Relations/Activities",'Payment Registry'!B13:B1013,"1")</f>
        <v>0</v>
      </c>
      <c r="T80" s="680">
        <f>SUMIFS('Payment Registry'!C13:C1013,'Payment Registry'!L13:L1013,"Chapter - Alumni Relations/Activities",'Payment Registry'!B13:B1013,"2")</f>
        <v>0</v>
      </c>
      <c r="U80" s="106">
        <f>SUMIFS('Payment Registry'!C13:C1013,'Payment Registry'!L13:L1013,"Chapter - Alumni Relations/Activities",'Payment Registry'!B13:B1013,"3")</f>
        <v>0</v>
      </c>
      <c r="V80" s="680">
        <f>SUMIFS('Payment Registry'!C13:C1013,'Payment Registry'!L13:L1013,"Chapter - Alumni Relations/Activities",'Payment Registry'!B13:B1013,"4")</f>
        <v>0</v>
      </c>
      <c r="W80" s="106">
        <f>SUMIFS('Payment Registry'!C13:C1013,'Payment Registry'!L13:L1013,"Chapter - Alumni Relations/Activities",'Payment Registry'!B13:B1013,"5")</f>
        <v>0</v>
      </c>
      <c r="X80" s="680">
        <f>SUMIFS('Payment Registry'!C13:C1013,'Payment Registry'!L13:L1013,"Chapter - Alumni Relations/Activities",'Payment Registry'!B13:B1013,"6")</f>
        <v>0</v>
      </c>
    </row>
    <row r="81" spans="1:24" x14ac:dyDescent="0.2">
      <c r="A81" s="274" t="s">
        <v>221</v>
      </c>
      <c r="B81" s="14">
        <f>'Ch Operations Budget Worksheet'!D39</f>
        <v>0</v>
      </c>
      <c r="C81" s="793">
        <f>'Ch Operations Budget Worksheet'!I39</f>
        <v>0</v>
      </c>
      <c r="D81" s="166">
        <f t="shared" si="54"/>
        <v>0</v>
      </c>
      <c r="F81" s="14">
        <f t="shared" si="48"/>
        <v>0</v>
      </c>
      <c r="G81" s="793">
        <f t="shared" si="49"/>
        <v>0</v>
      </c>
      <c r="H81" s="166">
        <f t="shared" si="50"/>
        <v>0</v>
      </c>
      <c r="J81" s="14">
        <f t="shared" si="51"/>
        <v>0</v>
      </c>
      <c r="K81" s="793">
        <f t="shared" si="52"/>
        <v>0</v>
      </c>
      <c r="L81" s="166">
        <f t="shared" si="53"/>
        <v>0</v>
      </c>
      <c r="M81" s="105">
        <f>SUMIFS('Payment Registry'!C13:C1013,'Payment Registry'!L13:L1013,"Chapter - Member Education (LEAD)",'Payment Registry'!B13:B1013,"7")</f>
        <v>0</v>
      </c>
      <c r="N81" s="680">
        <f>SUMIFS('Payment Registry'!C13:C1013,'Payment Registry'!L13:L1013,"Chapter - Member Education (LEAD)",'Payment Registry'!B13:B1013,"8")</f>
        <v>0</v>
      </c>
      <c r="O81" s="106">
        <f>SUMIFS('Payment Registry'!C13:C1013,'Payment Registry'!L13:L1013,"Chapter - Member Education (LEAD)",'Payment Registry'!B13:B1013,"9")</f>
        <v>0</v>
      </c>
      <c r="P81" s="680">
        <f>SUMIFS('Payment Registry'!C13:C1013,'Payment Registry'!L13:L1013,"Chapter - Member Education (LEAD)",'Payment Registry'!B13:B1013,"10")</f>
        <v>0</v>
      </c>
      <c r="Q81" s="106">
        <f>SUMIFS('Payment Registry'!C13:C1013,'Payment Registry'!L13:L1013,"Chapter - Member Education (LEAD)",'Payment Registry'!B13:B1013,"11")</f>
        <v>0</v>
      </c>
      <c r="R81" s="680">
        <f>SUMIFS('Payment Registry'!C13:C1013,'Payment Registry'!L13:L1013,"Chapter - Member Education (LEAD)",'Payment Registry'!B13:B1013,"12")</f>
        <v>0</v>
      </c>
      <c r="S81" s="106">
        <f>SUMIFS('Payment Registry'!C13:C1013,'Payment Registry'!L13:L1013,"Chapter - Member Education (LEAD)",'Payment Registry'!B13:B1013,"1")</f>
        <v>0</v>
      </c>
      <c r="T81" s="680">
        <f>SUMIFS('Payment Registry'!C13:C1013,'Payment Registry'!L13:L1013,"Chapter - Member Education (LEAD)",'Payment Registry'!B13:B1013,"2")</f>
        <v>0</v>
      </c>
      <c r="U81" s="106">
        <f>SUMIFS('Payment Registry'!C13:C1013,'Payment Registry'!L13:L1013,"Chapter - Member Education (LEAD)",'Payment Registry'!B13:B1013,"3")</f>
        <v>0</v>
      </c>
      <c r="V81" s="680">
        <f>SUMIFS('Payment Registry'!C13:C1013,'Payment Registry'!L13:L1013,"Chapter - Member Education (LEAD)",'Payment Registry'!B13:B1013,"4")</f>
        <v>0</v>
      </c>
      <c r="W81" s="106">
        <f>SUMIFS('Payment Registry'!C13:C1013,'Payment Registry'!L13:L1013,"Chapter - Member Education (LEAD)",'Payment Registry'!B13:B1013,"5")</f>
        <v>0</v>
      </c>
      <c r="X81" s="680">
        <f>SUMIFS('Payment Registry'!C13:C1013,'Payment Registry'!L13:L1013,"Chapter - Member Education (LEAD)",'Payment Registry'!B13:B1013,"6")</f>
        <v>0</v>
      </c>
    </row>
    <row r="82" spans="1:24" x14ac:dyDescent="0.2">
      <c r="A82" s="274" t="s">
        <v>222</v>
      </c>
      <c r="B82" s="14">
        <f>'Ch Operations Budget Worksheet'!D40</f>
        <v>0</v>
      </c>
      <c r="C82" s="793">
        <f>'Ch Operations Budget Worksheet'!I40</f>
        <v>0</v>
      </c>
      <c r="D82" s="166">
        <f t="shared" si="54"/>
        <v>0</v>
      </c>
      <c r="F82" s="14">
        <f t="shared" si="48"/>
        <v>0</v>
      </c>
      <c r="G82" s="793">
        <f t="shared" si="49"/>
        <v>0</v>
      </c>
      <c r="H82" s="166">
        <f t="shared" si="50"/>
        <v>0</v>
      </c>
      <c r="J82" s="14">
        <f t="shared" si="51"/>
        <v>0</v>
      </c>
      <c r="K82" s="793">
        <f t="shared" si="52"/>
        <v>0</v>
      </c>
      <c r="L82" s="166">
        <f t="shared" si="53"/>
        <v>0</v>
      </c>
      <c r="M82" s="105">
        <f>SUMIFS('Payment Registry'!C13:C1013,'Payment Registry'!L13:L1013,"Chapter - Conclave - Travel and Expenses",'Payment Registry'!B13:B1013,"7")</f>
        <v>0</v>
      </c>
      <c r="N82" s="680">
        <f>SUMIFS('Payment Registry'!C13:C1013,'Payment Registry'!L13:L1013,"Chapter - Conclave - Travel and Expenses",'Payment Registry'!B13:B1013,"8")</f>
        <v>0</v>
      </c>
      <c r="O82" s="106">
        <f>SUMIFS('Payment Registry'!C13:C1013,'Payment Registry'!L13:L1013,"Chapter - Conclave - Travel and Expenses",'Payment Registry'!B13:B1013,"9")</f>
        <v>0</v>
      </c>
      <c r="P82" s="680">
        <f>SUMIFS('Payment Registry'!C13:C1013,'Payment Registry'!L13:L1013,"Chapter - Conclave - Travel and Expenses",'Payment Registry'!B13:B1013,"10")</f>
        <v>0</v>
      </c>
      <c r="Q82" s="106">
        <f>SUMIFS('Payment Registry'!C13:C1013,'Payment Registry'!L13:L1013,"Chapter - Conclave - Travel and Expenses",'Payment Registry'!B13:B1013,"11")</f>
        <v>0</v>
      </c>
      <c r="R82" s="680">
        <f>SUMIFS('Payment Registry'!C13:C1013,'Payment Registry'!L13:L1013,"Chapter - Conclave - Travel and Expenses",'Payment Registry'!B13:B1013,"12")</f>
        <v>0</v>
      </c>
      <c r="S82" s="106">
        <f>SUMIFS('Payment Registry'!C13:C1013,'Payment Registry'!L13:L1013,"Chapter - Conclave - Travel and Expenses",'Payment Registry'!B13:B1013,"1")</f>
        <v>0</v>
      </c>
      <c r="T82" s="680">
        <f>SUMIFS('Payment Registry'!C13:C1013,'Payment Registry'!L13:L1013,"Chapter - Conclave - Travel and Expenses",'Payment Registry'!B13:B1013,"2")</f>
        <v>0</v>
      </c>
      <c r="U82" s="106">
        <f>SUMIFS('Payment Registry'!C13:C1013,'Payment Registry'!L13:L1013,"Chapter - Conclave - Travel and Expenses",'Payment Registry'!B13:B1013,"3")</f>
        <v>0</v>
      </c>
      <c r="V82" s="680">
        <f>SUMIFS('Payment Registry'!C13:C1013,'Payment Registry'!L13:L1013,"Chapter - Conclave - Travel and Expenses",'Payment Registry'!B13:B1013,"4")</f>
        <v>0</v>
      </c>
      <c r="W82" s="106">
        <f>SUMIFS('Payment Registry'!C13:C1013,'Payment Registry'!L13:L1013,"Chapter - Conclave - Travel and Expenses",'Payment Registry'!B13:B1013,"5")</f>
        <v>0</v>
      </c>
      <c r="X82" s="680">
        <f>SUMIFS('Payment Registry'!C13:C1013,'Payment Registry'!L13:L1013,"Chapter - Conclave - Travel and Expenses",'Payment Registry'!B13:B1013,"6")</f>
        <v>0</v>
      </c>
    </row>
    <row r="83" spans="1:24" x14ac:dyDescent="0.2">
      <c r="A83" s="274" t="s">
        <v>223</v>
      </c>
      <c r="B83" s="14">
        <f>'Ch Operations Budget Worksheet'!D41</f>
        <v>0</v>
      </c>
      <c r="C83" s="793">
        <f>'Ch Operations Budget Worksheet'!I41</f>
        <v>0</v>
      </c>
      <c r="D83" s="166">
        <f t="shared" si="54"/>
        <v>0</v>
      </c>
      <c r="F83" s="14">
        <f t="shared" si="48"/>
        <v>0</v>
      </c>
      <c r="G83" s="793">
        <f t="shared" si="49"/>
        <v>0</v>
      </c>
      <c r="H83" s="166">
        <f t="shared" si="50"/>
        <v>0</v>
      </c>
      <c r="J83" s="14">
        <f t="shared" si="51"/>
        <v>0</v>
      </c>
      <c r="K83" s="793">
        <f t="shared" si="52"/>
        <v>0</v>
      </c>
      <c r="L83" s="166">
        <f t="shared" si="53"/>
        <v>0</v>
      </c>
      <c r="M83" s="105">
        <f>SUMIFS('Payment Registry'!C13:C1013,'Payment Registry'!L13:L1013,"Chapter - Chapter/Executive Retreat",'Payment Registry'!B13:B1013,"7")</f>
        <v>0</v>
      </c>
      <c r="N83" s="680">
        <f>SUMIFS('Payment Registry'!C13:C1013,'Payment Registry'!L13:L1013,"Chapter - Chapter/Executive Retreat",'Payment Registry'!B13:B1013,"8")</f>
        <v>0</v>
      </c>
      <c r="O83" s="106">
        <f>SUMIFS('Payment Registry'!C13:C1013,'Payment Registry'!L13:L1013,"Chapter - Chapter/Executive Retreat",'Payment Registry'!B13:B1013,"9")</f>
        <v>0</v>
      </c>
      <c r="P83" s="680">
        <f>SUMIFS('Payment Registry'!C13:C1013,'Payment Registry'!L13:L1013,"Chapter - Chapter/Executive Retreat",'Payment Registry'!B13:B1013,"10")</f>
        <v>0</v>
      </c>
      <c r="Q83" s="106">
        <f>SUMIFS('Payment Registry'!C13:C1013,'Payment Registry'!L13:L1013,"Chapter - Chapter/Executive Retreat",'Payment Registry'!B13:B1013,"11")</f>
        <v>0</v>
      </c>
      <c r="R83" s="680">
        <f>SUMIFS('Payment Registry'!C13:C1013,'Payment Registry'!L13:L1013,"Chapter - Chapter/Executive Retreat",'Payment Registry'!B13:B1013,"12")</f>
        <v>0</v>
      </c>
      <c r="S83" s="106">
        <f>SUMIFS('Payment Registry'!C13:C1013,'Payment Registry'!L13:L1013,"Chapter - Chapter/Executive Retreat",'Payment Registry'!B13:B1013,"1")</f>
        <v>0</v>
      </c>
      <c r="T83" s="680">
        <f>SUMIFS('Payment Registry'!C13:C1013,'Payment Registry'!L13:L1013,"Chapter - Chapter/Executive Retreat",'Payment Registry'!B13:B1013,"2")</f>
        <v>0</v>
      </c>
      <c r="U83" s="106">
        <f>SUMIFS('Payment Registry'!C13:C1013,'Payment Registry'!L13:L1013,"Chapter - Chapter/Executive Retreat",'Payment Registry'!B13:B1013,"3")</f>
        <v>0</v>
      </c>
      <c r="V83" s="680">
        <f>SUMIFS('Payment Registry'!C13:C1013,'Payment Registry'!L13:L1013,"Chapter - Chapter/Executive Retreat",'Payment Registry'!B13:B1013,"4")</f>
        <v>0</v>
      </c>
      <c r="W83" s="106">
        <f>SUMIFS('Payment Registry'!C13:C1013,'Payment Registry'!L13:L1013,"Chapter - Chapter/Executive Retreat",'Payment Registry'!B13:B1013,"5")</f>
        <v>0</v>
      </c>
      <c r="X83" s="680">
        <f>SUMIFS('Payment Registry'!C13:C1013,'Payment Registry'!L13:L1013,"Chapter - Chapter/Executive Retreat",'Payment Registry'!B13:B1013,"6")</f>
        <v>0</v>
      </c>
    </row>
    <row r="84" spans="1:24" x14ac:dyDescent="0.2">
      <c r="A84" s="274" t="s">
        <v>224</v>
      </c>
      <c r="B84" s="14">
        <f>'Ch Operations Budget Worksheet'!D42</f>
        <v>0</v>
      </c>
      <c r="C84" s="793">
        <f>'Ch Operations Budget Worksheet'!I42</f>
        <v>0</v>
      </c>
      <c r="D84" s="166">
        <f t="shared" si="54"/>
        <v>0</v>
      </c>
      <c r="F84" s="14">
        <f t="shared" si="48"/>
        <v>0</v>
      </c>
      <c r="G84" s="793">
        <f t="shared" si="49"/>
        <v>0</v>
      </c>
      <c r="H84" s="166">
        <f t="shared" si="50"/>
        <v>0</v>
      </c>
      <c r="J84" s="14">
        <f t="shared" si="51"/>
        <v>0</v>
      </c>
      <c r="K84" s="793">
        <f t="shared" si="52"/>
        <v>0</v>
      </c>
      <c r="L84" s="166">
        <f t="shared" si="53"/>
        <v>0</v>
      </c>
      <c r="M84" s="105">
        <f>SUMIFS('Payment Registry'!C13:C1013,'Payment Registry'!L13:L1013,"Chapter - Brotherhood Activities",'Payment Registry'!B13:B1013,"7")</f>
        <v>0</v>
      </c>
      <c r="N84" s="680">
        <f>SUMIFS('Payment Registry'!C13:C1013,'Payment Registry'!L13:L1013,"Chapter - Brotherhood Activities",'Payment Registry'!B13:B1013,"8")</f>
        <v>0</v>
      </c>
      <c r="O84" s="106">
        <f>SUMIFS('Payment Registry'!C13:C1013,'Payment Registry'!L13:L1013,"Chapter - Brotherhood Activities",'Payment Registry'!B13:B1013,"9")</f>
        <v>0</v>
      </c>
      <c r="P84" s="680">
        <f>SUMIFS('Payment Registry'!C13:C1013,'Payment Registry'!L13:L1013,"Chapter - Brotherhood Activities",'Payment Registry'!B13:B1013,"10")</f>
        <v>0</v>
      </c>
      <c r="Q84" s="106">
        <f>SUMIFS('Payment Registry'!C13:C1013,'Payment Registry'!L13:L1013,"Chapter - Brotherhood Activities",'Payment Registry'!B13:B1013,"11")</f>
        <v>0</v>
      </c>
      <c r="R84" s="680">
        <f>SUMIFS('Payment Registry'!C13:C1013,'Payment Registry'!L13:L1013,"Chapter - Brotherhood Activities",'Payment Registry'!B13:B1013,"12")</f>
        <v>0</v>
      </c>
      <c r="S84" s="106">
        <f>SUMIFS('Payment Registry'!C13:C1013,'Payment Registry'!L13:L1013,"Chapter - Brotherhood Activities",'Payment Registry'!B13:B1013,"1")</f>
        <v>0</v>
      </c>
      <c r="T84" s="680">
        <f>SUMIFS('Payment Registry'!C13:C1013,'Payment Registry'!L13:L1013,"Chapter - Brotherhood Activities",'Payment Registry'!B13:B1013,"2")</f>
        <v>0</v>
      </c>
      <c r="U84" s="106">
        <f>SUMIFS('Payment Registry'!C13:C1013,'Payment Registry'!L13:L1013,"Chapter - Brotherhood Activities",'Payment Registry'!B13:B1013,"3")</f>
        <v>0</v>
      </c>
      <c r="V84" s="680">
        <f>SUMIFS('Payment Registry'!C13:C1013,'Payment Registry'!L13:L1013,"Chapter - Brotherhood Activities",'Payment Registry'!B13:B1013,"4")</f>
        <v>0</v>
      </c>
      <c r="W84" s="106">
        <f>SUMIFS('Payment Registry'!C13:C1013,'Payment Registry'!L13:L1013,"Chapter - Brotherhood Activities",'Payment Registry'!B13:B1013,"5")</f>
        <v>0</v>
      </c>
      <c r="X84" s="680">
        <f>SUMIFS('Payment Registry'!C13:C1013,'Payment Registry'!L13:L1013,"Chapter - Brotherhood Activities",'Payment Registry'!B13:B1013,"6")</f>
        <v>0</v>
      </c>
    </row>
    <row r="85" spans="1:24" x14ac:dyDescent="0.2">
      <c r="A85" s="274" t="s">
        <v>225</v>
      </c>
      <c r="B85" s="14">
        <f>'Ch Operations Budget Worksheet'!D43</f>
        <v>0</v>
      </c>
      <c r="C85" s="793">
        <f>'Ch Operations Budget Worksheet'!I43</f>
        <v>0</v>
      </c>
      <c r="D85" s="166">
        <f t="shared" si="54"/>
        <v>0</v>
      </c>
      <c r="F85" s="14">
        <f t="shared" si="48"/>
        <v>0</v>
      </c>
      <c r="G85" s="793">
        <f t="shared" si="49"/>
        <v>0</v>
      </c>
      <c r="H85" s="166">
        <f t="shared" si="50"/>
        <v>0</v>
      </c>
      <c r="J85" s="14">
        <f t="shared" si="51"/>
        <v>0</v>
      </c>
      <c r="K85" s="793">
        <f t="shared" si="52"/>
        <v>0</v>
      </c>
      <c r="L85" s="166">
        <f t="shared" si="53"/>
        <v>0</v>
      </c>
      <c r="M85" s="105">
        <f>SUMIFS('Payment Registry'!C13:C1013,'Payment Registry'!L13:L1013,"Chapter - Community Service/Philanthropy",'Payment Registry'!B13:B1013,"7")</f>
        <v>0</v>
      </c>
      <c r="N85" s="680">
        <f>SUMIFS('Payment Registry'!C13:C1013,'Payment Registry'!L13:L1013,"Chapter - Community Service/Philanthropy",'Payment Registry'!B13:B1013,"8")</f>
        <v>0</v>
      </c>
      <c r="O85" s="106">
        <f>SUMIFS('Payment Registry'!C13:C1013,'Payment Registry'!L13:L1013,"Chapter - Community Service/Philanthropy",'Payment Registry'!B13:B1013,"9")</f>
        <v>0</v>
      </c>
      <c r="P85" s="680">
        <f>SUMIFS('Payment Registry'!C13:C1013,'Payment Registry'!L13:L1013,"Chapter - Community Service/Philanthropy",'Payment Registry'!B13:B1013,"10")</f>
        <v>0</v>
      </c>
      <c r="Q85" s="106">
        <f>SUMIFS('Payment Registry'!C13:C1013,'Payment Registry'!L13:L1013,"Chapter - Community Service/Philanthropy",'Payment Registry'!B13:B1013,"11")</f>
        <v>0</v>
      </c>
      <c r="R85" s="680">
        <f>SUMIFS('Payment Registry'!C13:C1013,'Payment Registry'!L13:L1013,"Chapter - Community Service/Philanthropy",'Payment Registry'!B13:B1013,"12")</f>
        <v>0</v>
      </c>
      <c r="S85" s="106">
        <f>SUMIFS('Payment Registry'!C13:C1013,'Payment Registry'!L13:L1013,"Chapter - Community Service/Philanthropy",'Payment Registry'!B13:B1013,"1")</f>
        <v>0</v>
      </c>
      <c r="T85" s="680">
        <f>SUMIFS('Payment Registry'!C13:C1013,'Payment Registry'!L13:L1013,"Chapter - Community Service/Philanthropy",'Payment Registry'!B13:B1013,"2")</f>
        <v>0</v>
      </c>
      <c r="U85" s="106">
        <f>SUMIFS('Payment Registry'!C13:C1013,'Payment Registry'!L13:L1013,"Chapter - Community Service/Philanthropy",'Payment Registry'!B13:B1013,"3")</f>
        <v>0</v>
      </c>
      <c r="V85" s="680">
        <f>SUMIFS('Payment Registry'!C13:C1013,'Payment Registry'!L13:L1013,"Chapter - Community Service/Philanthropy",'Payment Registry'!B13:B1013,"4")</f>
        <v>0</v>
      </c>
      <c r="W85" s="106">
        <f>SUMIFS('Payment Registry'!C13:C1013,'Payment Registry'!L13:L1013,"Chapter - Community Service/Philanthropy",'Payment Registry'!B13:B1013,"5")</f>
        <v>0</v>
      </c>
      <c r="X85" s="680">
        <f>SUMIFS('Payment Registry'!C13:C1013,'Payment Registry'!L13:L1013,"Chapter - Community Service/Philanthropy",'Payment Registry'!B13:B1013,"6")</f>
        <v>0</v>
      </c>
    </row>
    <row r="86" spans="1:24" x14ac:dyDescent="0.2">
      <c r="A86" s="274" t="s">
        <v>226</v>
      </c>
      <c r="B86" s="14">
        <f>'Ch Operations Budget Worksheet'!D44</f>
        <v>0</v>
      </c>
      <c r="C86" s="793">
        <f>'Ch Operations Budget Worksheet'!I44</f>
        <v>0</v>
      </c>
      <c r="D86" s="166">
        <f t="shared" si="54"/>
        <v>0</v>
      </c>
      <c r="F86" s="14">
        <f t="shared" si="48"/>
        <v>0</v>
      </c>
      <c r="G86" s="793">
        <f t="shared" si="49"/>
        <v>0</v>
      </c>
      <c r="H86" s="166">
        <f t="shared" si="50"/>
        <v>0</v>
      </c>
      <c r="J86" s="14">
        <f t="shared" si="51"/>
        <v>0</v>
      </c>
      <c r="K86" s="793">
        <f t="shared" si="52"/>
        <v>0</v>
      </c>
      <c r="L86" s="166">
        <f t="shared" si="53"/>
        <v>0</v>
      </c>
      <c r="M86" s="105">
        <f>SUMIFS('Payment Registry'!C13:C1013,'Payment Registry'!L13:L1013,"Chapter - Scholarship/Academic Affairs",'Payment Registry'!B13:B1013,"7")</f>
        <v>0</v>
      </c>
      <c r="N86" s="680">
        <f>SUMIFS('Payment Registry'!C13:C1013,'Payment Registry'!L13:L1013,"Chapter - Scholarship/Academic Affairs",'Payment Registry'!B13:B1013,"8")</f>
        <v>0</v>
      </c>
      <c r="O86" s="106">
        <f>SUMIFS('Payment Registry'!C13:C1013,'Payment Registry'!L13:L1013,"Chapter - Scholarship/Academic Affairs",'Payment Registry'!B13:B1013,"9")</f>
        <v>0</v>
      </c>
      <c r="P86" s="680">
        <f>SUMIFS('Payment Registry'!C13:C1013,'Payment Registry'!L13:L1013,"Chapter - Scholarship/Academic Affairs",'Payment Registry'!B13:B1013,"10")</f>
        <v>0</v>
      </c>
      <c r="Q86" s="106">
        <f>SUMIFS('Payment Registry'!C13:C1013,'Payment Registry'!L13:L1013,"Chapter - Scholarship/Academic Affairs",'Payment Registry'!B13:B1013,"11")</f>
        <v>0</v>
      </c>
      <c r="R86" s="680">
        <f>SUMIFS('Payment Registry'!C13:C1013,'Payment Registry'!L13:L1013,"Chapter - Scholarship/Academic Affairs",'Payment Registry'!B13:B1013,"12")</f>
        <v>0</v>
      </c>
      <c r="S86" s="106">
        <f>SUMIFS('Payment Registry'!C13:C1013,'Payment Registry'!L13:L1013,"Chapter - Scholarship/Academic Affairs",'Payment Registry'!B13:B1013,"1")</f>
        <v>0</v>
      </c>
      <c r="T86" s="680">
        <f>SUMIFS('Payment Registry'!C13:C1013,'Payment Registry'!L13:L1013,"Chapter - Scholarship/Academic Affairs",'Payment Registry'!B13:B1013,"2")</f>
        <v>0</v>
      </c>
      <c r="U86" s="106">
        <f>SUMIFS('Payment Registry'!C13:C1013,'Payment Registry'!L13:L1013,"Chapter - Scholarship/Academic Affairs",'Payment Registry'!B13:B1013,"3")</f>
        <v>0</v>
      </c>
      <c r="V86" s="680">
        <f>SUMIFS('Payment Registry'!C13:C1013,'Payment Registry'!L13:L1013,"Chapter - Scholarship/Academic Affairs",'Payment Registry'!B13:B1013,"4")</f>
        <v>0</v>
      </c>
      <c r="W86" s="106">
        <f>SUMIFS('Payment Registry'!C13:C1013,'Payment Registry'!L13:L1013,"Chapter - Scholarship/Academic Affairs",'Payment Registry'!B13:B1013,"5")</f>
        <v>0</v>
      </c>
      <c r="X86" s="680">
        <f>SUMIFS('Payment Registry'!C13:C1013,'Payment Registry'!L13:L1013,"Chapter - Scholarship/Academic Affairs",'Payment Registry'!B13:B1013,"6")</f>
        <v>0</v>
      </c>
    </row>
    <row r="87" spans="1:24" x14ac:dyDescent="0.2">
      <c r="A87" s="274" t="s">
        <v>227</v>
      </c>
      <c r="B87" s="14">
        <f>'Ch Operations Budget Worksheet'!D45</f>
        <v>0</v>
      </c>
      <c r="C87" s="793">
        <f>'Ch Operations Budget Worksheet'!I45</f>
        <v>0</v>
      </c>
      <c r="D87" s="166">
        <f t="shared" si="54"/>
        <v>0</v>
      </c>
      <c r="F87" s="14">
        <f t="shared" si="48"/>
        <v>0</v>
      </c>
      <c r="G87" s="793">
        <f t="shared" si="49"/>
        <v>0</v>
      </c>
      <c r="H87" s="166">
        <f t="shared" si="50"/>
        <v>0</v>
      </c>
      <c r="J87" s="14">
        <f t="shared" si="51"/>
        <v>0</v>
      </c>
      <c r="K87" s="793">
        <f t="shared" si="52"/>
        <v>0</v>
      </c>
      <c r="L87" s="166">
        <f t="shared" si="53"/>
        <v>0</v>
      </c>
      <c r="M87" s="105">
        <f>SUMIFS('Payment Registry'!C13:C1013,'Payment Registry'!L13:L1013,"Chapter - Homecoming/Greek Week",'Payment Registry'!B13:B1013,"7")</f>
        <v>0</v>
      </c>
      <c r="N87" s="680">
        <f>SUMIFS('Payment Registry'!C13:C1013,'Payment Registry'!L13:L1013,"Chapter - Homecoming/Greek Week",'Payment Registry'!B13:B1013,"8")</f>
        <v>0</v>
      </c>
      <c r="O87" s="106">
        <f>SUMIFS('Payment Registry'!C13:C1013,'Payment Registry'!L13:L1013,"Chapter - Homecoming/Greek Week",'Payment Registry'!B13:B1013,"9")</f>
        <v>0</v>
      </c>
      <c r="P87" s="680">
        <f>SUMIFS('Payment Registry'!C13:C1013,'Payment Registry'!L13:L1013,"Chapter - Homecoming/Greek Week",'Payment Registry'!B13:B1013,"10")</f>
        <v>0</v>
      </c>
      <c r="Q87" s="106">
        <f>SUMIFS('Payment Registry'!C13:C1013,'Payment Registry'!L13:L1013,"Chapter - Homecoming/Greek Week",'Payment Registry'!B13:B1013,"11")</f>
        <v>0</v>
      </c>
      <c r="R87" s="680">
        <f>SUMIFS('Payment Registry'!C13:C1013,'Payment Registry'!L13:L1013,"Chapter - Homecoming/Greek Week",'Payment Registry'!B13:B1013,"12")</f>
        <v>0</v>
      </c>
      <c r="S87" s="106">
        <f>SUMIFS('Payment Registry'!C13:C1013,'Payment Registry'!L13:L1013,"Chapter - Homecoming/Greek Week",'Payment Registry'!B13:B1013,"1")</f>
        <v>0</v>
      </c>
      <c r="T87" s="680">
        <f>SUMIFS('Payment Registry'!C13:C1013,'Payment Registry'!L13:L1013,"Chapter - Homecoming/Greek Week",'Payment Registry'!B13:B1013,"2")</f>
        <v>0</v>
      </c>
      <c r="U87" s="106">
        <f>SUMIFS('Payment Registry'!C13:C1013,'Payment Registry'!L13:L1013,"Chapter - Homecoming/Greek Week",'Payment Registry'!B13:B1013,"3")</f>
        <v>0</v>
      </c>
      <c r="V87" s="680">
        <f>SUMIFS('Payment Registry'!C13:C1013,'Payment Registry'!L13:L1013,"Chapter - Homecoming/Greek Week",'Payment Registry'!B13:B1013,"4")</f>
        <v>0</v>
      </c>
      <c r="W87" s="106">
        <f>SUMIFS('Payment Registry'!C13:C1013,'Payment Registry'!L13:L1013,"Chapter - Homecoming/Greek Week",'Payment Registry'!B13:B1013,"5")</f>
        <v>0</v>
      </c>
      <c r="X87" s="680">
        <f>SUMIFS('Payment Registry'!C13:C1013,'Payment Registry'!L13:L1013,"Chapter - Homecoming/Greek Week",'Payment Registry'!B13:B1013,"6")</f>
        <v>0</v>
      </c>
    </row>
    <row r="88" spans="1:24" x14ac:dyDescent="0.2">
      <c r="A88" s="274" t="s">
        <v>228</v>
      </c>
      <c r="B88" s="14">
        <f>'Ch Operations Budget Worksheet'!D46</f>
        <v>0</v>
      </c>
      <c r="C88" s="793">
        <f>'Ch Operations Budget Worksheet'!I46</f>
        <v>0</v>
      </c>
      <c r="D88" s="166">
        <f t="shared" si="54"/>
        <v>0</v>
      </c>
      <c r="F88" s="14">
        <f t="shared" si="48"/>
        <v>0</v>
      </c>
      <c r="G88" s="793">
        <f t="shared" si="49"/>
        <v>0</v>
      </c>
      <c r="H88" s="166">
        <f t="shared" si="50"/>
        <v>0</v>
      </c>
      <c r="J88" s="14">
        <f t="shared" si="51"/>
        <v>0</v>
      </c>
      <c r="K88" s="793">
        <f t="shared" si="52"/>
        <v>0</v>
      </c>
      <c r="L88" s="166">
        <f t="shared" si="53"/>
        <v>0</v>
      </c>
      <c r="M88" s="105">
        <f>SUMIFS('Payment Registry'!C13:C1013,'Payment Registry'!L13:L1013,"Chapter - Composite",'Payment Registry'!B13:B1013,"7")</f>
        <v>0</v>
      </c>
      <c r="N88" s="680">
        <f>SUMIFS('Payment Registry'!C13:C1013,'Payment Registry'!L13:L1013,"Chapter - Composite",'Payment Registry'!B13:B1013,"8")</f>
        <v>0</v>
      </c>
      <c r="O88" s="106">
        <f>SUMIFS('Payment Registry'!C13:C1013,'Payment Registry'!L13:L1013,"Chapter - Composite",'Payment Registry'!B13:B1013,"9")</f>
        <v>0</v>
      </c>
      <c r="P88" s="680">
        <f>SUMIFS('Payment Registry'!C13:C1013,'Payment Registry'!L13:L1013,"Chapter - Composite",'Payment Registry'!B13:B1013,"10")</f>
        <v>0</v>
      </c>
      <c r="Q88" s="106">
        <f>SUMIFS('Payment Registry'!C13:C1013,'Payment Registry'!L13:L1013,"Chapter - Composite",'Payment Registry'!B13:B1013,"11")</f>
        <v>0</v>
      </c>
      <c r="R88" s="680">
        <f>SUMIFS('Payment Registry'!C13:C1013,'Payment Registry'!L13:L1013,"Chapter - Composite",'Payment Registry'!B13:B1013,"12")</f>
        <v>0</v>
      </c>
      <c r="S88" s="106">
        <f>SUMIFS('Payment Registry'!C13:C1013,'Payment Registry'!L13:L1013,"Chapter - Composite",'Payment Registry'!B13:B1013,"1")</f>
        <v>0</v>
      </c>
      <c r="T88" s="680">
        <f>SUMIFS('Payment Registry'!C13:C1013,'Payment Registry'!L13:L1013,"Chapter - Composite",'Payment Registry'!B13:B1013,"2")</f>
        <v>0</v>
      </c>
      <c r="U88" s="106">
        <f>SUMIFS('Payment Registry'!C13:C1013,'Payment Registry'!L13:L1013,"Chapter - Composite",'Payment Registry'!B13:B1013,"3")</f>
        <v>0</v>
      </c>
      <c r="V88" s="680">
        <f>SUMIFS('Payment Registry'!C13:C1013,'Payment Registry'!L13:L1013,"Chapter - Composite",'Payment Registry'!B13:B1013,"4")</f>
        <v>0</v>
      </c>
      <c r="W88" s="106">
        <f>SUMIFS('Payment Registry'!C13:C1013,'Payment Registry'!L13:L1013,"Chapter - Composite",'Payment Registry'!B13:B1013,"5")</f>
        <v>0</v>
      </c>
      <c r="X88" s="680">
        <f>SUMIFS('Payment Registry'!C13:C1013,'Payment Registry'!L13:L1013,"Chapter - Composite",'Payment Registry'!B13:B1013,"6")</f>
        <v>0</v>
      </c>
    </row>
    <row r="89" spans="1:24" x14ac:dyDescent="0.2">
      <c r="A89" s="274" t="s">
        <v>229</v>
      </c>
      <c r="B89" s="14">
        <f>'Ch Operations Budget Worksheet'!D47</f>
        <v>0</v>
      </c>
      <c r="C89" s="793">
        <f>'Ch Operations Budget Worksheet'!I47</f>
        <v>0</v>
      </c>
      <c r="D89" s="166">
        <f t="shared" si="54"/>
        <v>0</v>
      </c>
      <c r="F89" s="14">
        <f t="shared" si="48"/>
        <v>0</v>
      </c>
      <c r="G89" s="793">
        <f t="shared" si="49"/>
        <v>0</v>
      </c>
      <c r="H89" s="166">
        <f t="shared" si="50"/>
        <v>0</v>
      </c>
      <c r="J89" s="14">
        <f t="shared" si="51"/>
        <v>0</v>
      </c>
      <c r="K89" s="793">
        <f t="shared" si="52"/>
        <v>0</v>
      </c>
      <c r="L89" s="166">
        <f t="shared" si="53"/>
        <v>0</v>
      </c>
      <c r="M89" s="105">
        <f>SUMIFS('Payment Registry'!C13:C1013,'Payment Registry'!L13:L1013,"Chapter - Formal",'Payment Registry'!B13:B1013,"7")</f>
        <v>0</v>
      </c>
      <c r="N89" s="680">
        <f>SUMIFS('Payment Registry'!C13:C1013,'Payment Registry'!L13:L1013,"Chapter - Formal",'Payment Registry'!B13:B1013,"8")</f>
        <v>0</v>
      </c>
      <c r="O89" s="106">
        <f>SUMIFS('Payment Registry'!C13:C1013,'Payment Registry'!L13:L1013,"Chapter - Formal",'Payment Registry'!B13:B1013,"9")</f>
        <v>0</v>
      </c>
      <c r="P89" s="680">
        <f>SUMIFS('Payment Registry'!C13:C1013,'Payment Registry'!L13:L1013,"Chapter - Formal",'Payment Registry'!B13:B1013,"10")</f>
        <v>0</v>
      </c>
      <c r="Q89" s="106">
        <f>SUMIFS('Payment Registry'!C13:C1013,'Payment Registry'!L13:L1013,"Chapter - Formal",'Payment Registry'!B13:B1013,"11")</f>
        <v>0</v>
      </c>
      <c r="R89" s="680">
        <f>SUMIFS('Payment Registry'!C13:C1013,'Payment Registry'!L13:L1013,"Chapter - Formal",'Payment Registry'!B13:B1013,"12")</f>
        <v>0</v>
      </c>
      <c r="S89" s="106">
        <f>SUMIFS('Payment Registry'!C13:C1013,'Payment Registry'!L13:L1013,"Chapter - Formal",'Payment Registry'!B13:B1013,"1")</f>
        <v>0</v>
      </c>
      <c r="T89" s="680">
        <f>SUMIFS('Payment Registry'!C13:C1013,'Payment Registry'!L13:L1013,"Chapter - Formal",'Payment Registry'!B13:B1013,"2")</f>
        <v>0</v>
      </c>
      <c r="U89" s="106">
        <f>SUMIFS('Payment Registry'!C13:C1013,'Payment Registry'!L13:L1013,"Chapter - Formal",'Payment Registry'!B13:B1013,"3")</f>
        <v>0</v>
      </c>
      <c r="V89" s="680">
        <f>SUMIFS('Payment Registry'!C13:C1013,'Payment Registry'!L13:L1013,"Chapter - Formal",'Payment Registry'!B13:B1013,"4")</f>
        <v>0</v>
      </c>
      <c r="W89" s="106">
        <f>SUMIFS('Payment Registry'!C13:C1013,'Payment Registry'!L13:L1013,"Chapter - Formal",'Payment Registry'!B13:B1013,"5")</f>
        <v>0</v>
      </c>
      <c r="X89" s="680">
        <f>SUMIFS('Payment Registry'!C13:C1013,'Payment Registry'!L13:L1013,"Chapter - Formal",'Payment Registry'!B13:B1013,"6")</f>
        <v>0</v>
      </c>
    </row>
    <row r="90" spans="1:24" x14ac:dyDescent="0.2">
      <c r="A90" s="274" t="s">
        <v>230</v>
      </c>
      <c r="B90" s="14">
        <f>'Ch Operations Budget Worksheet'!D48</f>
        <v>0</v>
      </c>
      <c r="C90" s="793">
        <f>'Ch Operations Budget Worksheet'!I48</f>
        <v>0</v>
      </c>
      <c r="D90" s="166">
        <f t="shared" si="54"/>
        <v>0</v>
      </c>
      <c r="F90" s="14">
        <f t="shared" si="48"/>
        <v>0</v>
      </c>
      <c r="G90" s="793">
        <f t="shared" si="49"/>
        <v>0</v>
      </c>
      <c r="H90" s="166">
        <f t="shared" si="50"/>
        <v>0</v>
      </c>
      <c r="J90" s="14">
        <f t="shared" si="51"/>
        <v>0</v>
      </c>
      <c r="K90" s="793">
        <f t="shared" si="52"/>
        <v>0</v>
      </c>
      <c r="L90" s="166">
        <f t="shared" si="53"/>
        <v>0</v>
      </c>
      <c r="M90" s="105">
        <f>SUMIFS('Payment Registry'!C13:C1013,'Payment Registry'!L13:L1013,"Chapter - Social Functions/Events",'Payment Registry'!B13:B1013,"7")</f>
        <v>0</v>
      </c>
      <c r="N90" s="680">
        <f>SUMIFS('Payment Registry'!C13:C1013,'Payment Registry'!L13:L1013,"Chapter - Social Functions/Events",'Payment Registry'!B13:B1013,"8")</f>
        <v>0</v>
      </c>
      <c r="O90" s="106">
        <f>SUMIFS('Payment Registry'!C13:C1013,'Payment Registry'!L13:L1013,"Chapter - Social Functions/Events",'Payment Registry'!B13:B1013,"9")</f>
        <v>0</v>
      </c>
      <c r="P90" s="680">
        <f>SUMIFS('Payment Registry'!C13:C1013,'Payment Registry'!L13:L1013,"Chapter - Social Functions/Events",'Payment Registry'!B13:B1013,"10")</f>
        <v>0</v>
      </c>
      <c r="Q90" s="106">
        <f>SUMIFS('Payment Registry'!C13:C1013,'Payment Registry'!L13:L1013,"Chapter - Social Functions/Events",'Payment Registry'!B13:B1013,"11")</f>
        <v>0</v>
      </c>
      <c r="R90" s="680">
        <f>SUMIFS('Payment Registry'!C13:C1013,'Payment Registry'!L13:L1013,"Chapter - Social Functions/Events",'Payment Registry'!B13:B1013,"12")</f>
        <v>0</v>
      </c>
      <c r="S90" s="106">
        <f>SUMIFS('Payment Registry'!C13:C1013,'Payment Registry'!L13:L1013,"Chapter - Social Functions/Events",'Payment Registry'!B13:B1013,"1")</f>
        <v>0</v>
      </c>
      <c r="T90" s="680">
        <f>SUMIFS('Payment Registry'!C13:C1013,'Payment Registry'!L13:L1013,"Chapter - Social Functions/Events",'Payment Registry'!B13:B1013,"2")</f>
        <v>0</v>
      </c>
      <c r="U90" s="106">
        <f>SUMIFS('Payment Registry'!C13:C1013,'Payment Registry'!L13:L1013,"Chapter - Social Functions/Events",'Payment Registry'!B13:B1013,"3")</f>
        <v>0</v>
      </c>
      <c r="V90" s="680">
        <f>SUMIFS('Payment Registry'!C13:C1013,'Payment Registry'!L13:L1013,"Chapter - Social Functions/Events",'Payment Registry'!B13:B1013,"4")</f>
        <v>0</v>
      </c>
      <c r="W90" s="106">
        <f>SUMIFS('Payment Registry'!C13:C1013,'Payment Registry'!L13:L1013,"Chapter - Social Functions/Events",'Payment Registry'!B13:B1013,"5")</f>
        <v>0</v>
      </c>
      <c r="X90" s="680">
        <f>SUMIFS('Payment Registry'!C13:C1013,'Payment Registry'!L13:L1013,"Chapter - Social Functions/Events",'Payment Registry'!B13:B1013,"6")</f>
        <v>0</v>
      </c>
    </row>
    <row r="91" spans="1:24" x14ac:dyDescent="0.2">
      <c r="A91" s="274" t="s">
        <v>231</v>
      </c>
      <c r="B91" s="14">
        <f>'Ch Operations Budget Worksheet'!D49</f>
        <v>0</v>
      </c>
      <c r="C91" s="793">
        <f>'Ch Operations Budget Worksheet'!I49</f>
        <v>0</v>
      </c>
      <c r="D91" s="166">
        <f t="shared" si="54"/>
        <v>0</v>
      </c>
      <c r="F91" s="14">
        <f t="shared" si="48"/>
        <v>0</v>
      </c>
      <c r="G91" s="793">
        <f t="shared" si="49"/>
        <v>0</v>
      </c>
      <c r="H91" s="166">
        <f t="shared" si="50"/>
        <v>0</v>
      </c>
      <c r="J91" s="14">
        <f t="shared" si="51"/>
        <v>0</v>
      </c>
      <c r="K91" s="793">
        <f t="shared" si="52"/>
        <v>0</v>
      </c>
      <c r="L91" s="166">
        <f t="shared" si="53"/>
        <v>0</v>
      </c>
      <c r="M91" s="105">
        <f>SUMIFS('Payment Registry'!C13:C1013,'Payment Registry'!L13:L1013,"Chapter - Parent Activities/Events",'Payment Registry'!B13:B1013,"7")</f>
        <v>0</v>
      </c>
      <c r="N91" s="680">
        <f>SUMIFS('Payment Registry'!C13:C1013,'Payment Registry'!L13:L1013,"Chapter - Parent Activities/Events",'Payment Registry'!B13:B1013,"8")</f>
        <v>0</v>
      </c>
      <c r="O91" s="106">
        <f>SUMIFS('Payment Registry'!C13:C1013,'Payment Registry'!L13:L1013,"Chapter - Parent Activities/Events",'Payment Registry'!B13:B1013,"9")</f>
        <v>0</v>
      </c>
      <c r="P91" s="680">
        <f>SUMIFS('Payment Registry'!C13:C1013,'Payment Registry'!L13:L1013,"Chapter - Parent Activities/Events",'Payment Registry'!B13:B1013,"10")</f>
        <v>0</v>
      </c>
      <c r="Q91" s="106">
        <f>SUMIFS('Payment Registry'!C13:C1013,'Payment Registry'!L13:L1013,"Chapter - Parent Activities/Events",'Payment Registry'!B13:B1013,"11")</f>
        <v>0</v>
      </c>
      <c r="R91" s="680">
        <f>SUMIFS('Payment Registry'!C13:C1013,'Payment Registry'!L13:L1013,"Chapter - Parent Activities/Events",'Payment Registry'!B13:B1013,"12")</f>
        <v>0</v>
      </c>
      <c r="S91" s="106">
        <f>SUMIFS('Payment Registry'!C13:C1013,'Payment Registry'!L13:L1013,"Chapter - Parent Activities/Events",'Payment Registry'!B13:B1013,"1")</f>
        <v>0</v>
      </c>
      <c r="T91" s="680">
        <f>SUMIFS('Payment Registry'!C13:C1013,'Payment Registry'!L13:L1013,"Chapter - Parent Activities/Events",'Payment Registry'!B13:B1013,"2")</f>
        <v>0</v>
      </c>
      <c r="U91" s="106">
        <f>SUMIFS('Payment Registry'!C13:C1013,'Payment Registry'!L13:L1013,"Chapter - Parent Activities/Events",'Payment Registry'!B13:B1013,"3")</f>
        <v>0</v>
      </c>
      <c r="V91" s="680">
        <f>SUMIFS('Payment Registry'!C13:C1013,'Payment Registry'!L13:L1013,"Chapter - Parent Activities/Events",'Payment Registry'!B13:B1013,"4")</f>
        <v>0</v>
      </c>
      <c r="W91" s="106">
        <f>SUMIFS('Payment Registry'!C13:C1013,'Payment Registry'!L13:L1013,"Chapter - Parent Activities/Events",'Payment Registry'!B13:B1013,"5")</f>
        <v>0</v>
      </c>
      <c r="X91" s="680">
        <f>SUMIFS('Payment Registry'!C13:C1013,'Payment Registry'!L13:L1013,"Chapter - Parent Activities/Events",'Payment Registry'!B13:B1013,"6")</f>
        <v>0</v>
      </c>
    </row>
    <row r="92" spans="1:24" x14ac:dyDescent="0.2">
      <c r="A92" s="274" t="s">
        <v>232</v>
      </c>
      <c r="B92" s="14">
        <f>'Ch Operations Budget Worksheet'!D50</f>
        <v>0</v>
      </c>
      <c r="C92" s="793">
        <f>'Ch Operations Budget Worksheet'!I50</f>
        <v>0</v>
      </c>
      <c r="D92" s="166">
        <f t="shared" si="54"/>
        <v>0</v>
      </c>
      <c r="F92" s="14">
        <f t="shared" si="48"/>
        <v>0</v>
      </c>
      <c r="G92" s="793">
        <f t="shared" si="49"/>
        <v>0</v>
      </c>
      <c r="H92" s="166">
        <f t="shared" si="50"/>
        <v>0</v>
      </c>
      <c r="J92" s="14">
        <f t="shared" si="51"/>
        <v>0</v>
      </c>
      <c r="K92" s="793">
        <f t="shared" si="52"/>
        <v>0</v>
      </c>
      <c r="L92" s="166">
        <f t="shared" si="53"/>
        <v>0</v>
      </c>
      <c r="M92" s="105">
        <f>SUMIFS('Payment Registry'!C13:C1013,'Payment Registry'!L13:L1013,"Chapter - Office Supplies",'Payment Registry'!B13:B1013,"7")</f>
        <v>0</v>
      </c>
      <c r="N92" s="680">
        <f>SUMIFS('Payment Registry'!C13:C1013,'Payment Registry'!L13:L1013,"Chapter - Office Supplies",'Payment Registry'!B13:B1013,"8")</f>
        <v>0</v>
      </c>
      <c r="O92" s="106">
        <f>SUMIFS('Payment Registry'!C13:C1013,'Payment Registry'!L13:L1013,"Chapter - Office Supplies",'Payment Registry'!B13:B1013,"9")</f>
        <v>0</v>
      </c>
      <c r="P92" s="680">
        <f>SUMIFS('Payment Registry'!C13:C1013,'Payment Registry'!L13:L1013,"Chapter - Office Supplies",'Payment Registry'!B13:B1013,"10")</f>
        <v>0</v>
      </c>
      <c r="Q92" s="106">
        <f>SUMIFS('Payment Registry'!C13:C1013,'Payment Registry'!L13:L1013,"Chapter - Office Supplies",'Payment Registry'!B13:B1013,"11")</f>
        <v>0</v>
      </c>
      <c r="R92" s="680">
        <f>SUMIFS('Payment Registry'!C13:C1013,'Payment Registry'!L13:L1013,"Chapter - Office Supplies",'Payment Registry'!B13:B1013,"12")</f>
        <v>0</v>
      </c>
      <c r="S92" s="106">
        <f>SUMIFS('Payment Registry'!C13:C1013,'Payment Registry'!L13:L1013,"Chapter - Office Supplies",'Payment Registry'!B13:B1013,"1")</f>
        <v>0</v>
      </c>
      <c r="T92" s="680">
        <f>SUMIFS('Payment Registry'!C13:C1013,'Payment Registry'!L13:L1013,"Chapter - Office Supplies",'Payment Registry'!B13:B1013,"2")</f>
        <v>0</v>
      </c>
      <c r="U92" s="106">
        <f>SUMIFS('Payment Registry'!C13:C1013,'Payment Registry'!L13:L1013,"Chapter - Office Supplies",'Payment Registry'!B13:B1013,"3")</f>
        <v>0</v>
      </c>
      <c r="V92" s="680">
        <f>SUMIFS('Payment Registry'!C13:C1013,'Payment Registry'!L13:L1013,"Chapter - Office Supplies",'Payment Registry'!B13:B1013,"4")</f>
        <v>0</v>
      </c>
      <c r="W92" s="106">
        <f>SUMIFS('Payment Registry'!C13:C1013,'Payment Registry'!L13:L1013,"Chapter - Office Supplies",'Payment Registry'!B13:B1013,"5")</f>
        <v>0</v>
      </c>
      <c r="X92" s="680">
        <f>SUMIFS('Payment Registry'!C13:C1013,'Payment Registry'!L13:L1013,"Chapter - Office Supplies",'Payment Registry'!B13:B1013,"6")</f>
        <v>0</v>
      </c>
    </row>
    <row r="93" spans="1:24" x14ac:dyDescent="0.2">
      <c r="A93" s="274" t="s">
        <v>233</v>
      </c>
      <c r="B93" s="14">
        <f>'Ch Operations Budget Worksheet'!D51</f>
        <v>0</v>
      </c>
      <c r="C93" s="793">
        <f>'Ch Operations Budget Worksheet'!I51</f>
        <v>0</v>
      </c>
      <c r="D93" s="166">
        <f t="shared" si="54"/>
        <v>0</v>
      </c>
      <c r="F93" s="14">
        <f t="shared" si="48"/>
        <v>0</v>
      </c>
      <c r="G93" s="793">
        <f t="shared" si="49"/>
        <v>0</v>
      </c>
      <c r="H93" s="166">
        <f t="shared" si="50"/>
        <v>0</v>
      </c>
      <c r="J93" s="14">
        <f t="shared" si="51"/>
        <v>0</v>
      </c>
      <c r="K93" s="793">
        <f t="shared" si="52"/>
        <v>0</v>
      </c>
      <c r="L93" s="166">
        <f t="shared" si="53"/>
        <v>0</v>
      </c>
      <c r="M93" s="105">
        <f>SUMIFS('Payment Registry'!C13:C1013,'Payment Registry'!L13:L1013,"Chapter - Printing &amp; Copying",'Payment Registry'!B13:B1013,"7")</f>
        <v>0</v>
      </c>
      <c r="N93" s="680">
        <f>SUMIFS('Payment Registry'!C13:C1013,'Payment Registry'!L13:L1013,"Chapter - Printing &amp; Copying",'Payment Registry'!B13:B1013,"8")</f>
        <v>0</v>
      </c>
      <c r="O93" s="106">
        <f>SUMIFS('Payment Registry'!C13:C1013,'Payment Registry'!L13:L1013,"Chapter - Printing &amp; Copying",'Payment Registry'!B13:B1013,"9")</f>
        <v>0</v>
      </c>
      <c r="P93" s="680">
        <f>SUMIFS('Payment Registry'!C13:C1013,'Payment Registry'!L13:L1013,"Chapter - Printing &amp; Copying",'Payment Registry'!B13:B1013,"10")</f>
        <v>0</v>
      </c>
      <c r="Q93" s="106">
        <f>SUMIFS('Payment Registry'!C13:C1013,'Payment Registry'!L13:L1013,"Chapter - Printing &amp; Copying",'Payment Registry'!B13:B1013,"11")</f>
        <v>0</v>
      </c>
      <c r="R93" s="680">
        <f>SUMIFS('Payment Registry'!C13:C1013,'Payment Registry'!L13:L1013,"Chapter - Printing &amp; Copying",'Payment Registry'!B13:B1013,"12")</f>
        <v>0</v>
      </c>
      <c r="S93" s="106">
        <f>SUMIFS('Payment Registry'!C13:C1013,'Payment Registry'!L13:L1013,"Chapter - Printing &amp; Copying",'Payment Registry'!B13:B1013,"1")</f>
        <v>0</v>
      </c>
      <c r="T93" s="680">
        <f>SUMIFS('Payment Registry'!C13:C1013,'Payment Registry'!L13:L1013,"Chapter - Printing &amp; Copying",'Payment Registry'!B13:B1013,"2")</f>
        <v>0</v>
      </c>
      <c r="U93" s="106">
        <f>SUMIFS('Payment Registry'!C13:C1013,'Payment Registry'!L13:L1013,"Chapter - Printing &amp; Copying",'Payment Registry'!B13:B1013,"3")</f>
        <v>0</v>
      </c>
      <c r="V93" s="680">
        <f>SUMIFS('Payment Registry'!C13:C1013,'Payment Registry'!L13:L1013,"Chapter - Printing &amp; Copying",'Payment Registry'!B13:B1013,"4")</f>
        <v>0</v>
      </c>
      <c r="W93" s="106">
        <f>SUMIFS('Payment Registry'!C13:C1013,'Payment Registry'!L13:L1013,"Chapter - Printing &amp; Copying",'Payment Registry'!B13:B1013,"5")</f>
        <v>0</v>
      </c>
      <c r="X93" s="680">
        <f>SUMIFS('Payment Registry'!C13:C1013,'Payment Registry'!L13:L1013,"Chapter - Printing &amp; Copying",'Payment Registry'!B13:B1013,"6")</f>
        <v>0</v>
      </c>
    </row>
    <row r="94" spans="1:24" x14ac:dyDescent="0.2">
      <c r="A94" s="274" t="s">
        <v>234</v>
      </c>
      <c r="B94" s="14">
        <f>'Ch Operations Budget Worksheet'!D52</f>
        <v>0</v>
      </c>
      <c r="C94" s="793">
        <f>'Ch Operations Budget Worksheet'!I52</f>
        <v>0</v>
      </c>
      <c r="D94" s="166">
        <f t="shared" si="54"/>
        <v>0</v>
      </c>
      <c r="F94" s="14">
        <f t="shared" si="48"/>
        <v>0</v>
      </c>
      <c r="G94" s="793">
        <f t="shared" si="49"/>
        <v>0</v>
      </c>
      <c r="H94" s="166">
        <f t="shared" si="50"/>
        <v>0</v>
      </c>
      <c r="J94" s="14">
        <f t="shared" si="51"/>
        <v>0</v>
      </c>
      <c r="K94" s="793">
        <f t="shared" si="52"/>
        <v>0</v>
      </c>
      <c r="L94" s="166">
        <f t="shared" si="53"/>
        <v>0</v>
      </c>
      <c r="M94" s="105">
        <f>SUMIFS('Payment Registry'!C13:C1013,'Payment Registry'!L13:L1013,"Chapter - Postage/Mailings",'Payment Registry'!B13:B1013,"7")</f>
        <v>0</v>
      </c>
      <c r="N94" s="680">
        <f>SUMIFS('Payment Registry'!C13:C1013,'Payment Registry'!L13:L1013,"Chapter - Postage/Mailings",'Payment Registry'!B13:B1013,"8")</f>
        <v>0</v>
      </c>
      <c r="O94" s="106">
        <f>SUMIFS('Payment Registry'!C13:C1013,'Payment Registry'!L13:L1013,"Chapter - Postage/Mailings",'Payment Registry'!B13:B1013,"9")</f>
        <v>0</v>
      </c>
      <c r="P94" s="680">
        <f>SUMIFS('Payment Registry'!C13:C1013,'Payment Registry'!L13:L1013,"Chapter - Postage/Mailings",'Payment Registry'!B13:B1013,"10")</f>
        <v>0</v>
      </c>
      <c r="Q94" s="106">
        <f>SUMIFS('Payment Registry'!C13:C1013,'Payment Registry'!L13:L1013,"Chapter - Postage/Mailings",'Payment Registry'!B13:B1013,"11")</f>
        <v>0</v>
      </c>
      <c r="R94" s="680">
        <f>SUMIFS('Payment Registry'!C13:C1013,'Payment Registry'!L13:L1013,"Chapter - Postage/Mailings",'Payment Registry'!B13:B1013,"12")</f>
        <v>0</v>
      </c>
      <c r="S94" s="106">
        <f>SUMIFS('Payment Registry'!C13:C1013,'Payment Registry'!L13:L1013,"Chapter - Postage/Mailings",'Payment Registry'!B13:B1013,"1")</f>
        <v>0</v>
      </c>
      <c r="T94" s="680">
        <f>SUMIFS('Payment Registry'!C13:C1013,'Payment Registry'!L13:L1013,"Chapter - Postage/Mailings",'Payment Registry'!B13:B1013,"2")</f>
        <v>0</v>
      </c>
      <c r="U94" s="106">
        <f>SUMIFS('Payment Registry'!C13:C1013,'Payment Registry'!L13:L1013,"Chapter - Postage/Mailings",'Payment Registry'!B13:B1013,"3")</f>
        <v>0</v>
      </c>
      <c r="V94" s="680">
        <f>SUMIFS('Payment Registry'!C13:C1013,'Payment Registry'!L13:L1013,"Chapter - Postage/Mailings",'Payment Registry'!B13:B1013,"4")</f>
        <v>0</v>
      </c>
      <c r="W94" s="106">
        <f>SUMIFS('Payment Registry'!C13:C1013,'Payment Registry'!L13:L1013,"Chapter - Postage/Mailings",'Payment Registry'!B13:B1013,"5")</f>
        <v>0</v>
      </c>
      <c r="X94" s="680">
        <f>SUMIFS('Payment Registry'!C13:C1013,'Payment Registry'!L13:L1013,"Chapter - Postage/Mailings",'Payment Registry'!B13:B1013,"6")</f>
        <v>0</v>
      </c>
    </row>
    <row r="95" spans="1:24" x14ac:dyDescent="0.2">
      <c r="A95" s="274" t="s">
        <v>235</v>
      </c>
      <c r="B95" s="14">
        <f>'Ch Operations Budget Worksheet'!D53</f>
        <v>0</v>
      </c>
      <c r="C95" s="793">
        <f>'Ch Operations Budget Worksheet'!I53</f>
        <v>0</v>
      </c>
      <c r="D95" s="166">
        <f t="shared" si="54"/>
        <v>0</v>
      </c>
      <c r="F95" s="14">
        <f t="shared" si="48"/>
        <v>0</v>
      </c>
      <c r="G95" s="793">
        <f t="shared" si="49"/>
        <v>0</v>
      </c>
      <c r="H95" s="166">
        <f t="shared" si="50"/>
        <v>0</v>
      </c>
      <c r="J95" s="14">
        <f t="shared" si="51"/>
        <v>0</v>
      </c>
      <c r="K95" s="793">
        <f t="shared" si="52"/>
        <v>0</v>
      </c>
      <c r="L95" s="166">
        <f t="shared" si="53"/>
        <v>0</v>
      </c>
      <c r="M95" s="105">
        <f>SUMIFS('Payment Registry'!C13:C1013,'Payment Registry'!L13:L1013,"Chapter - Chapter Merchandise",'Payment Registry'!B13:B1013,"7")</f>
        <v>0</v>
      </c>
      <c r="N95" s="680">
        <f>SUMIFS('Payment Registry'!C13:C1013,'Payment Registry'!L13:L1013,"Chapter - Chapter Merchandise",'Payment Registry'!B13:B1013,"8")</f>
        <v>0</v>
      </c>
      <c r="O95" s="106">
        <f>SUMIFS('Payment Registry'!C13:C1013,'Payment Registry'!L13:L1013,"Chapter - Chapter Merchandise",'Payment Registry'!B13:B1013,"9")</f>
        <v>0</v>
      </c>
      <c r="P95" s="680">
        <f>SUMIFS('Payment Registry'!C13:C1013,'Payment Registry'!L13:L1013,"Chapter - Chapter Merchandise",'Payment Registry'!B13:B1013,"10")</f>
        <v>0</v>
      </c>
      <c r="Q95" s="106">
        <f>SUMIFS('Payment Registry'!C13:C1013,'Payment Registry'!L13:L1013,"Chapter - Chapter Merchandise",'Payment Registry'!B13:B1013,"11")</f>
        <v>0</v>
      </c>
      <c r="R95" s="680">
        <f>SUMIFS('Payment Registry'!C13:C1013,'Payment Registry'!L13:L1013,"Chapter - Chapter Merchandise",'Payment Registry'!B13:B1013,"12")</f>
        <v>0</v>
      </c>
      <c r="S95" s="106">
        <f>SUMIFS('Payment Registry'!C13:C1013,'Payment Registry'!L13:L1013,"Chapter - Chapter Merchandise",'Payment Registry'!B13:B1013,"1")</f>
        <v>0</v>
      </c>
      <c r="T95" s="680">
        <f>SUMIFS('Payment Registry'!C13:C1013,'Payment Registry'!L13:L1013,"Chapter - Chapter Merchandise",'Payment Registry'!B13:B1013,"2")</f>
        <v>0</v>
      </c>
      <c r="U95" s="106">
        <f>SUMIFS('Payment Registry'!C13:C1013,'Payment Registry'!L13:L1013,"Chapter - Chapter Merchandise",'Payment Registry'!B13:B1013,"3")</f>
        <v>0</v>
      </c>
      <c r="V95" s="680">
        <f>SUMIFS('Payment Registry'!C13:C1013,'Payment Registry'!L13:L1013,"Chapter - Chapter Merchandise",'Payment Registry'!B13:B1013,"4")</f>
        <v>0</v>
      </c>
      <c r="W95" s="106">
        <f>SUMIFS('Payment Registry'!C13:C1013,'Payment Registry'!L13:L1013,"Chapter - Chapter Merchandise",'Payment Registry'!B13:B1013,"5")</f>
        <v>0</v>
      </c>
      <c r="X95" s="680">
        <f>SUMIFS('Payment Registry'!C13:C1013,'Payment Registry'!L13:L1013,"Chapter - Chapter Merchandise",'Payment Registry'!B13:B1013,"6")</f>
        <v>0</v>
      </c>
    </row>
    <row r="96" spans="1:24" x14ac:dyDescent="0.2">
      <c r="A96" s="274" t="s">
        <v>236</v>
      </c>
      <c r="B96" s="14">
        <f>'Ch Operations Budget Worksheet'!D54</f>
        <v>0</v>
      </c>
      <c r="C96" s="793">
        <f>'Ch Operations Budget Worksheet'!I54</f>
        <v>0</v>
      </c>
      <c r="D96" s="166">
        <f t="shared" si="54"/>
        <v>0</v>
      </c>
      <c r="F96" s="14">
        <f t="shared" si="48"/>
        <v>0</v>
      </c>
      <c r="G96" s="793">
        <f t="shared" si="49"/>
        <v>0</v>
      </c>
      <c r="H96" s="166">
        <f t="shared" si="50"/>
        <v>0</v>
      </c>
      <c r="J96" s="14">
        <f t="shared" si="51"/>
        <v>0</v>
      </c>
      <c r="K96" s="793">
        <f t="shared" si="52"/>
        <v>0</v>
      </c>
      <c r="L96" s="166">
        <f t="shared" si="53"/>
        <v>0</v>
      </c>
      <c r="M96" s="105">
        <f>SUMIFS('Payment Registry'!C13:C1013,'Payment Registry'!L13:L1013,"Chapter - Miscellaneous",'Payment Registry'!B13:B1013,"7")</f>
        <v>0</v>
      </c>
      <c r="N96" s="680">
        <f>SUMIFS('Payment Registry'!C13:C1013,'Payment Registry'!L13:L1013,"Chapter - Miscellaneous",'Payment Registry'!B13:B1013,"8")</f>
        <v>0</v>
      </c>
      <c r="O96" s="106">
        <f>SUMIFS('Payment Registry'!C13:C1013,'Payment Registry'!L13:L1013,"Chapter - Miscellaneous",'Payment Registry'!B13:B1013,"9")</f>
        <v>0</v>
      </c>
      <c r="P96" s="680">
        <f>SUMIFS('Payment Registry'!C13:C1013,'Payment Registry'!L13:L1013,"Chapter - Miscellaneous",'Payment Registry'!B13:B1013,"10")</f>
        <v>0</v>
      </c>
      <c r="Q96" s="106">
        <f>SUMIFS('Payment Registry'!C13:C1013,'Payment Registry'!L13:L1013,"Chapter - Miscellaneous",'Payment Registry'!B13:B1013,"11")</f>
        <v>0</v>
      </c>
      <c r="R96" s="680">
        <f>SUMIFS('Payment Registry'!C13:C1013,'Payment Registry'!L13:L1013,"Chapter - Miscellaneous",'Payment Registry'!B13:B1013,"12")</f>
        <v>0</v>
      </c>
      <c r="S96" s="106">
        <f>SUMIFS('Payment Registry'!C13:C1013,'Payment Registry'!L13:L1013,"Chapter - Miscellaneous",'Payment Registry'!B13:B1013,"1")</f>
        <v>0</v>
      </c>
      <c r="T96" s="680">
        <f>SUMIFS('Payment Registry'!C13:C1013,'Payment Registry'!L13:L1013,"Chapter - Miscellaneous",'Payment Registry'!B13:B1013,"2")</f>
        <v>0</v>
      </c>
      <c r="U96" s="106">
        <f>SUMIFS('Payment Registry'!C13:C1013,'Payment Registry'!L13:L1013,"Chapter - Miscellaneous",'Payment Registry'!B13:B1013,"3")</f>
        <v>0</v>
      </c>
      <c r="V96" s="680">
        <f>SUMIFS('Payment Registry'!C13:C1013,'Payment Registry'!L13:L1013,"Chapter - Miscellaneous",'Payment Registry'!B13:B1013,"4")</f>
        <v>0</v>
      </c>
      <c r="W96" s="106">
        <f>SUMIFS('Payment Registry'!C13:C1013,'Payment Registry'!L13:L1013,"Chapter - Miscellaneous",'Payment Registry'!B13:B1013,"5")</f>
        <v>0</v>
      </c>
      <c r="X96" s="680">
        <f>SUMIFS('Payment Registry'!C13:C1013,'Payment Registry'!L13:L1013,"Chapter - Miscellaneous",'Payment Registry'!B13:B1013,"6")</f>
        <v>0</v>
      </c>
    </row>
    <row r="97" spans="1:24" x14ac:dyDescent="0.2">
      <c r="A97" s="274" t="str">
        <f>'Ch Operations Budget Worksheet'!A55</f>
        <v>Chapter - Other (rename #1)</v>
      </c>
      <c r="B97" s="14">
        <f>'Ch Operations Budget Worksheet'!D55</f>
        <v>0</v>
      </c>
      <c r="C97" s="793">
        <f>'Ch Operations Budget Worksheet'!I55</f>
        <v>0</v>
      </c>
      <c r="D97" s="166">
        <f t="shared" si="54"/>
        <v>0</v>
      </c>
      <c r="F97" s="14">
        <f t="shared" si="48"/>
        <v>0</v>
      </c>
      <c r="G97" s="793">
        <f t="shared" si="49"/>
        <v>0</v>
      </c>
      <c r="H97" s="166">
        <f t="shared" si="50"/>
        <v>0</v>
      </c>
      <c r="J97" s="14">
        <f t="shared" si="51"/>
        <v>0</v>
      </c>
      <c r="K97" s="793">
        <f t="shared" si="52"/>
        <v>0</v>
      </c>
      <c r="L97" s="166">
        <f t="shared" si="53"/>
        <v>0</v>
      </c>
      <c r="M97" s="105">
        <f>SUMIFS('Payment Registry'!C13:C1013,'Payment Registry'!L13:L1013,A97,'Payment Registry'!B13:B1013,"7")</f>
        <v>0</v>
      </c>
      <c r="N97" s="680">
        <f>SUMIFS('Payment Registry'!C13:C1013,'Payment Registry'!L13:L1013,A97,'Payment Registry'!B13:B1013,"8")</f>
        <v>0</v>
      </c>
      <c r="O97" s="106">
        <f>SUMIFS('Payment Registry'!C13:C1013,'Payment Registry'!L13:L1013,A97,'Payment Registry'!B13:B1013,"9")</f>
        <v>0</v>
      </c>
      <c r="P97" s="680">
        <f>SUMIFS('Payment Registry'!C13:C1013,'Payment Registry'!L13:L1013,A97,'Payment Registry'!B13:B1013,"10")</f>
        <v>0</v>
      </c>
      <c r="Q97" s="106">
        <f>SUMIFS('Payment Registry'!C13:C1013,'Payment Registry'!L13:L1013,A97,'Payment Registry'!B13:B1013,"11")</f>
        <v>0</v>
      </c>
      <c r="R97" s="680">
        <f>SUMIFS('Payment Registry'!C13:C1013,'Payment Registry'!L13:L1013,A97,'Payment Registry'!B13:B1013,"12")</f>
        <v>0</v>
      </c>
      <c r="S97" s="106">
        <f>SUMIFS('Payment Registry'!C13:C1013,'Payment Registry'!L13:L1013,A97,'Payment Registry'!B13:B1013,"1")</f>
        <v>0</v>
      </c>
      <c r="T97" s="680">
        <f>SUMIFS('Payment Registry'!C13:C1013,'Payment Registry'!L13:L1013,A97,'Payment Registry'!B13:B1013,"2")</f>
        <v>0</v>
      </c>
      <c r="U97" s="106">
        <f>SUMIFS('Payment Registry'!C13:C1013,'Payment Registry'!L13:L1013,A97,'Payment Registry'!B13:B1013,"3")</f>
        <v>0</v>
      </c>
      <c r="V97" s="680">
        <f>SUMIFS('Payment Registry'!C13:C1013,'Payment Registry'!L13:L1013,A97,'Payment Registry'!B13:B1013,"4")</f>
        <v>0</v>
      </c>
      <c r="W97" s="106">
        <f>SUMIFS('Payment Registry'!C13:C1013,'Payment Registry'!L13:L1013,A97,'Payment Registry'!B13:B1013,"5")</f>
        <v>0</v>
      </c>
      <c r="X97" s="680">
        <f>SUMIFS('Payment Registry'!C13:C1013,'Payment Registry'!L13:L1013,A97,'Payment Registry'!B13:B1013,"6")</f>
        <v>0</v>
      </c>
    </row>
    <row r="98" spans="1:24" x14ac:dyDescent="0.2">
      <c r="A98" s="274" t="str">
        <f>'Ch Operations Budget Worksheet'!A56</f>
        <v>Chapter - Other (rename #2)</v>
      </c>
      <c r="B98" s="14">
        <f>'Ch Operations Budget Worksheet'!D56</f>
        <v>0</v>
      </c>
      <c r="C98" s="793">
        <f>'Ch Operations Budget Worksheet'!I56</f>
        <v>0</v>
      </c>
      <c r="D98" s="166">
        <f t="shared" si="54"/>
        <v>0</v>
      </c>
      <c r="F98" s="14">
        <f t="shared" si="48"/>
        <v>0</v>
      </c>
      <c r="G98" s="793">
        <f t="shared" si="49"/>
        <v>0</v>
      </c>
      <c r="H98" s="166">
        <f t="shared" si="50"/>
        <v>0</v>
      </c>
      <c r="J98" s="14">
        <f t="shared" si="51"/>
        <v>0</v>
      </c>
      <c r="K98" s="793">
        <f t="shared" si="52"/>
        <v>0</v>
      </c>
      <c r="L98" s="166">
        <f t="shared" si="53"/>
        <v>0</v>
      </c>
      <c r="M98" s="105">
        <f>SUMIFS('Payment Registry'!C13:C1013,'Payment Registry'!L13:L1013,A98,'Payment Registry'!B13:B1013,"7")</f>
        <v>0</v>
      </c>
      <c r="N98" s="680">
        <f>SUMIFS('Payment Registry'!C13:C1013,'Payment Registry'!L13:L1013,A98,'Payment Registry'!B13:B1013,"8")</f>
        <v>0</v>
      </c>
      <c r="O98" s="106">
        <f>SUMIFS('Payment Registry'!C13:C1013,'Payment Registry'!L13:L1013,A98,'Payment Registry'!B13:B1013,"9")</f>
        <v>0</v>
      </c>
      <c r="P98" s="680">
        <f>SUMIFS('Payment Registry'!C13:C1013,'Payment Registry'!L13:L1013,A98,'Payment Registry'!B13:B1013,"10")</f>
        <v>0</v>
      </c>
      <c r="Q98" s="106">
        <f>SUMIFS('Payment Registry'!C13:C1013,'Payment Registry'!L13:L1013,A98,'Payment Registry'!B13:B1013,"11")</f>
        <v>0</v>
      </c>
      <c r="R98" s="680">
        <f>SUMIFS('Payment Registry'!C13:C1013,'Payment Registry'!L13:L1013,A98,'Payment Registry'!B13:B1013,"12")</f>
        <v>0</v>
      </c>
      <c r="S98" s="106">
        <f>SUMIFS('Payment Registry'!C13:C1013,'Payment Registry'!L13:L1013,A98,'Payment Registry'!B13:B1013,"1")</f>
        <v>0</v>
      </c>
      <c r="T98" s="680">
        <f>SUMIFS('Payment Registry'!C13:C1013,'Payment Registry'!L13:L1013,A98,'Payment Registry'!B13:B1013,"2")</f>
        <v>0</v>
      </c>
      <c r="U98" s="106">
        <f>SUMIFS('Payment Registry'!C13:C1013,'Payment Registry'!L13:L1013,A98,'Payment Registry'!B13:B1013,"3")</f>
        <v>0</v>
      </c>
      <c r="V98" s="680">
        <f>SUMIFS('Payment Registry'!C13:C1013,'Payment Registry'!L13:L1013,A98,'Payment Registry'!B13:B1013,"4")</f>
        <v>0</v>
      </c>
      <c r="W98" s="106">
        <f>SUMIFS('Payment Registry'!C13:C1013,'Payment Registry'!L13:L1013,A98,'Payment Registry'!B13:B1013,"5")</f>
        <v>0</v>
      </c>
      <c r="X98" s="680">
        <f>SUMIFS('Payment Registry'!C13:C1013,'Payment Registry'!L13:L1013,A98,'Payment Registry'!B13:B1013,"6")</f>
        <v>0</v>
      </c>
    </row>
    <row r="99" spans="1:24" x14ac:dyDescent="0.2">
      <c r="A99" s="274" t="str">
        <f>'Ch Operations Budget Worksheet'!A57</f>
        <v>Chapter - Other (rename #3)</v>
      </c>
      <c r="B99" s="14">
        <f>'Ch Operations Budget Worksheet'!D57</f>
        <v>0</v>
      </c>
      <c r="C99" s="793">
        <f>'Ch Operations Budget Worksheet'!I57</f>
        <v>0</v>
      </c>
      <c r="D99" s="166">
        <f t="shared" si="54"/>
        <v>0</v>
      </c>
      <c r="F99" s="14">
        <f t="shared" si="48"/>
        <v>0</v>
      </c>
      <c r="G99" s="793">
        <f t="shared" si="49"/>
        <v>0</v>
      </c>
      <c r="H99" s="166">
        <f t="shared" si="50"/>
        <v>0</v>
      </c>
      <c r="J99" s="14">
        <f t="shared" si="51"/>
        <v>0</v>
      </c>
      <c r="K99" s="793">
        <f t="shared" si="52"/>
        <v>0</v>
      </c>
      <c r="L99" s="166">
        <f t="shared" si="53"/>
        <v>0</v>
      </c>
      <c r="M99" s="105">
        <f>SUMIFS('Payment Registry'!C13:C1013,'Payment Registry'!L13:L1013,A99,'Payment Registry'!B13:B1013,"7")</f>
        <v>0</v>
      </c>
      <c r="N99" s="680">
        <f>SUMIFS('Payment Registry'!C13:C1013,'Payment Registry'!L13:L1013,A99,'Payment Registry'!B13:B1013,"8")</f>
        <v>0</v>
      </c>
      <c r="O99" s="106">
        <f>SUMIFS('Payment Registry'!C13:C1013,'Payment Registry'!L13:L1013,A99,'Payment Registry'!B13:B1013,"9")</f>
        <v>0</v>
      </c>
      <c r="P99" s="680">
        <f>SUMIFS('Payment Registry'!C13:C1013,'Payment Registry'!L13:L1013,A99,'Payment Registry'!B13:B1013,"10")</f>
        <v>0</v>
      </c>
      <c r="Q99" s="106">
        <f>SUMIFS('Payment Registry'!C13:C1013,'Payment Registry'!L13:L1013,A99,'Payment Registry'!B13:B1013,"11")</f>
        <v>0</v>
      </c>
      <c r="R99" s="680">
        <f>SUMIFS('Payment Registry'!C13:C1013,'Payment Registry'!L13:L1013,A99,'Payment Registry'!B13:B1013,"12")</f>
        <v>0</v>
      </c>
      <c r="S99" s="106">
        <f>SUMIFS('Payment Registry'!C13:C1013,'Payment Registry'!L13:L1013,A99,'Payment Registry'!B13:B1013,"1")</f>
        <v>0</v>
      </c>
      <c r="T99" s="680">
        <f>SUMIFS('Payment Registry'!C13:C1013,'Payment Registry'!L13:L1013,"Chapter - Other (rename #3)",'Payment Registry'!B13:B1013,"2")</f>
        <v>0</v>
      </c>
      <c r="U99" s="106">
        <f>SUMIFS('Payment Registry'!C13:C1013,'Payment Registry'!L13:L1013,A99,'Payment Registry'!B13:B1013,"3")</f>
        <v>0</v>
      </c>
      <c r="V99" s="680">
        <f>SUMIFS('Payment Registry'!C13:C1013,'Payment Registry'!L13:L1013,A99,'Payment Registry'!B13:B1013,"4")</f>
        <v>0</v>
      </c>
      <c r="W99" s="106">
        <f>SUMIFS('Payment Registry'!C13:C1013,'Payment Registry'!L13:L1013,A99,'Payment Registry'!B13:B1013,"5")</f>
        <v>0</v>
      </c>
      <c r="X99" s="680">
        <f>SUMIFS('Payment Registry'!C13:C1013,'Payment Registry'!L13:L1013,A99,'Payment Registry'!B13:B1013,"6")</f>
        <v>0</v>
      </c>
    </row>
    <row r="100" spans="1:24" x14ac:dyDescent="0.2">
      <c r="A100" s="274" t="str">
        <f>'Ch Operations Budget Worksheet'!A58</f>
        <v>Chapter - Other (rename #4)</v>
      </c>
      <c r="B100" s="14">
        <f>'Ch Operations Budget Worksheet'!D58</f>
        <v>0</v>
      </c>
      <c r="C100" s="793">
        <f>'Ch Operations Budget Worksheet'!I58</f>
        <v>0</v>
      </c>
      <c r="D100" s="166">
        <f t="shared" ref="D100:D101" si="55">SUM(B100:C100)</f>
        <v>0</v>
      </c>
      <c r="F100" s="14">
        <f t="shared" si="48"/>
        <v>0</v>
      </c>
      <c r="G100" s="793">
        <f t="shared" si="49"/>
        <v>0</v>
      </c>
      <c r="H100" s="166">
        <f t="shared" si="50"/>
        <v>0</v>
      </c>
      <c r="J100" s="14">
        <f t="shared" si="51"/>
        <v>0</v>
      </c>
      <c r="K100" s="793">
        <f t="shared" si="52"/>
        <v>0</v>
      </c>
      <c r="L100" s="166">
        <f t="shared" si="53"/>
        <v>0</v>
      </c>
      <c r="M100" s="105">
        <f>SUMIFS('Payment Registry'!C13:C1013,'Payment Registry'!L13:L1013,A100,'Payment Registry'!B13:B1013,"7")</f>
        <v>0</v>
      </c>
      <c r="N100" s="680">
        <f>SUMIFS('Payment Registry'!C13:C1013,'Payment Registry'!L13:L1013,A100,'Payment Registry'!B13:B1013,"8")</f>
        <v>0</v>
      </c>
      <c r="O100" s="106">
        <f>SUMIFS('Payment Registry'!C13:C1013,'Payment Registry'!L13:L1013,A100,'Payment Registry'!B13:B1013,"9")</f>
        <v>0</v>
      </c>
      <c r="P100" s="680">
        <f>SUMIFS('Payment Registry'!C13:C1013,'Payment Registry'!L13:L1013,A100,'Payment Registry'!B13:B1013,"10")</f>
        <v>0</v>
      </c>
      <c r="Q100" s="106">
        <f>SUMIFS('Payment Registry'!C13:C1013,'Payment Registry'!L13:L1013,A100,'Payment Registry'!B13:B1013,"11")</f>
        <v>0</v>
      </c>
      <c r="R100" s="680">
        <f>SUMIFS('Payment Registry'!C13:C1013,'Payment Registry'!L13:L1013,A100,'Payment Registry'!B13:B1013,"12")</f>
        <v>0</v>
      </c>
      <c r="S100" s="106">
        <f>SUMIFS('Payment Registry'!C13:C1013,'Payment Registry'!L13:L1013,A100,'Payment Registry'!B13:B1013,"1")</f>
        <v>0</v>
      </c>
      <c r="T100" s="680">
        <f>SUMIFS('Payment Registry'!C13:C1013,'Payment Registry'!L13:L1013,A100,'Payment Registry'!B13:B1013,"2")</f>
        <v>0</v>
      </c>
      <c r="U100" s="106">
        <f>SUMIFS('Payment Registry'!C13:C1013,'Payment Registry'!L13:L1013,A100,'Payment Registry'!B13:B1013,"3")</f>
        <v>0</v>
      </c>
      <c r="V100" s="680">
        <f>SUMIFS('Payment Registry'!C13:C1013,'Payment Registry'!L13:L1013,A100,'Payment Registry'!B13:B1013,"4")</f>
        <v>0</v>
      </c>
      <c r="W100" s="106">
        <f>SUMIFS('Payment Registry'!C13:C1013,'Payment Registry'!L13:L1013,A100,'Payment Registry'!B13:B1013,"5")</f>
        <v>0</v>
      </c>
      <c r="X100" s="680">
        <f>SUMIFS('Payment Registry'!C13:C1013,'Payment Registry'!L13:L1013,A100,'Payment Registry'!B13:B1013,"6")</f>
        <v>0</v>
      </c>
    </row>
    <row r="101" spans="1:24" x14ac:dyDescent="0.2">
      <c r="A101" s="274" t="str">
        <f>'Ch Operations Budget Worksheet'!A59</f>
        <v>Chapter - Other (rename #5)</v>
      </c>
      <c r="B101" s="14">
        <f>'Ch Operations Budget Worksheet'!D59</f>
        <v>0</v>
      </c>
      <c r="C101" s="793">
        <f>'Ch Operations Budget Worksheet'!I59</f>
        <v>0</v>
      </c>
      <c r="D101" s="166">
        <f t="shared" si="55"/>
        <v>0</v>
      </c>
      <c r="F101" s="14">
        <f t="shared" si="48"/>
        <v>0</v>
      </c>
      <c r="G101" s="793">
        <f t="shared" si="49"/>
        <v>0</v>
      </c>
      <c r="H101" s="166">
        <f t="shared" si="50"/>
        <v>0</v>
      </c>
      <c r="J101" s="14">
        <f t="shared" si="51"/>
        <v>0</v>
      </c>
      <c r="K101" s="793">
        <f t="shared" si="52"/>
        <v>0</v>
      </c>
      <c r="L101" s="166">
        <f t="shared" si="53"/>
        <v>0</v>
      </c>
      <c r="M101" s="105">
        <f>SUMIFS('Payment Registry'!C13:C1013,'Payment Registry'!L13:L1013,A101,'Payment Registry'!B13:B1013,"7")</f>
        <v>0</v>
      </c>
      <c r="N101" s="680">
        <f>SUMIFS('Payment Registry'!C13:C1013,'Payment Registry'!L13:L1013,A101,'Payment Registry'!B13:B1013,"8")</f>
        <v>0</v>
      </c>
      <c r="O101" s="106">
        <f>SUMIFS('Payment Registry'!C13:C1013,'Payment Registry'!L13:L1013,A101,'Payment Registry'!B13:B1013,"9")</f>
        <v>0</v>
      </c>
      <c r="P101" s="680">
        <f>SUMIFS('Payment Registry'!C13:C1013,'Payment Registry'!L13:L1013,A101,'Payment Registry'!B13:B1013,"10")</f>
        <v>0</v>
      </c>
      <c r="Q101" s="106">
        <f>SUMIFS('Payment Registry'!C13:C1013,'Payment Registry'!L13:L1013,A101,'Payment Registry'!B13:B1013,"11")</f>
        <v>0</v>
      </c>
      <c r="R101" s="680">
        <f>SUMIFS('Payment Registry'!C13:C1013,'Payment Registry'!L13:L1013,A101,'Payment Registry'!B13:B1013,"12")</f>
        <v>0</v>
      </c>
      <c r="S101" s="106">
        <f>SUMIFS('Payment Registry'!C13:C1013,'Payment Registry'!L13:L1013,A101,'Payment Registry'!B13:B1013,"1")</f>
        <v>0</v>
      </c>
      <c r="T101" s="680">
        <f>SUMIFS('Payment Registry'!C13:C1013,'Payment Registry'!L13:L1013,A101,'Payment Registry'!B13:B1013,"2")</f>
        <v>0</v>
      </c>
      <c r="U101" s="106">
        <f>SUMIFS('Payment Registry'!C13:C1013,'Payment Registry'!L13:L1013,A101,'Payment Registry'!B13:B1013,"3")</f>
        <v>0</v>
      </c>
      <c r="V101" s="680">
        <f>SUMIFS('Payment Registry'!C13:C1013,'Payment Registry'!L13:L1013,A101,'Payment Registry'!B13:B1013,"4")</f>
        <v>0</v>
      </c>
      <c r="W101" s="106">
        <f>SUMIFS('Payment Registry'!C13:C1013,'Payment Registry'!L13:L1013,A101,'Payment Registry'!B13:B1013,"5")</f>
        <v>0</v>
      </c>
      <c r="X101" s="680">
        <f>SUMIFS('Payment Registry'!C13:C1013,'Payment Registry'!L13:L1013,A101,'Payment Registry'!B13:B1013,"6")</f>
        <v>0</v>
      </c>
    </row>
    <row r="102" spans="1:24" x14ac:dyDescent="0.2">
      <c r="A102" s="274"/>
      <c r="C102" s="119"/>
      <c r="G102" s="426"/>
      <c r="J102" s="14"/>
      <c r="K102" s="79"/>
      <c r="L102" s="14"/>
      <c r="M102" s="105"/>
      <c r="N102" s="680"/>
      <c r="O102" s="106"/>
      <c r="P102" s="680"/>
      <c r="Q102" s="106"/>
      <c r="R102" s="680"/>
      <c r="S102" s="106"/>
      <c r="T102" s="680"/>
      <c r="U102" s="106"/>
      <c r="V102" s="680"/>
      <c r="W102" s="106"/>
      <c r="X102" s="680"/>
    </row>
    <row r="103" spans="1:24" ht="15.75" x14ac:dyDescent="0.4">
      <c r="A103" s="263" t="s">
        <v>77</v>
      </c>
      <c r="B103" s="108">
        <f>SUM(B77:B101)</f>
        <v>0</v>
      </c>
      <c r="C103" s="129">
        <f>SUM(C77:C101)</f>
        <v>0</v>
      </c>
      <c r="D103" s="108">
        <f>SUM(D77:D101)</f>
        <v>0</v>
      </c>
      <c r="F103" s="108">
        <f>SUM(F77:F101)</f>
        <v>0</v>
      </c>
      <c r="G103" s="129">
        <f>SUM(G77:G101)</f>
        <v>0</v>
      </c>
      <c r="H103" s="108">
        <f>SUM(H77:H101)</f>
        <v>0</v>
      </c>
      <c r="J103" s="108">
        <f t="shared" si="51"/>
        <v>0</v>
      </c>
      <c r="K103" s="129">
        <f t="shared" si="52"/>
        <v>0</v>
      </c>
      <c r="L103" s="108">
        <f t="shared" si="53"/>
        <v>0</v>
      </c>
      <c r="M103" s="129">
        <f t="shared" ref="M103:V103" si="56">SUM(M77:M101)</f>
        <v>0</v>
      </c>
      <c r="N103" s="685">
        <f t="shared" si="56"/>
        <v>0</v>
      </c>
      <c r="O103" s="117">
        <f t="shared" si="56"/>
        <v>0</v>
      </c>
      <c r="P103" s="685">
        <f t="shared" si="56"/>
        <v>0</v>
      </c>
      <c r="Q103" s="117">
        <f t="shared" si="56"/>
        <v>0</v>
      </c>
      <c r="R103" s="685">
        <f t="shared" si="56"/>
        <v>0</v>
      </c>
      <c r="S103" s="117">
        <f t="shared" si="56"/>
        <v>0</v>
      </c>
      <c r="T103" s="685">
        <f t="shared" si="56"/>
        <v>0</v>
      </c>
      <c r="U103" s="117">
        <f t="shared" si="56"/>
        <v>0</v>
      </c>
      <c r="V103" s="685">
        <f t="shared" si="56"/>
        <v>0</v>
      </c>
      <c r="W103" s="117">
        <f t="shared" ref="W103:X103" si="57">SUM(W77:W101)</f>
        <v>0</v>
      </c>
      <c r="X103" s="685">
        <f t="shared" si="57"/>
        <v>0</v>
      </c>
    </row>
    <row r="104" spans="1:24" ht="6.75" customHeight="1" x14ac:dyDescent="0.4">
      <c r="A104" s="273"/>
      <c r="B104" s="108"/>
      <c r="C104" s="129"/>
      <c r="D104" s="108"/>
      <c r="G104" s="119"/>
      <c r="K104" s="119"/>
      <c r="M104" s="105"/>
      <c r="N104" s="680"/>
      <c r="O104" s="106"/>
      <c r="P104" s="680"/>
      <c r="Q104" s="106"/>
      <c r="R104" s="680"/>
      <c r="S104" s="106"/>
      <c r="T104" s="680"/>
      <c r="U104" s="106"/>
      <c r="V104" s="680"/>
      <c r="W104" s="106"/>
      <c r="X104" s="680"/>
    </row>
    <row r="105" spans="1:24" ht="15.75" x14ac:dyDescent="0.4">
      <c r="A105" s="273" t="s">
        <v>200</v>
      </c>
      <c r="B105" s="108">
        <f>B74-B103</f>
        <v>-1400</v>
      </c>
      <c r="C105" s="129">
        <f>C74-C103</f>
        <v>-1400</v>
      </c>
      <c r="D105" s="108">
        <f>D74-D103</f>
        <v>-2800</v>
      </c>
      <c r="F105" s="108">
        <f t="shared" ref="F105:G105" si="58">F74-F103</f>
        <v>0</v>
      </c>
      <c r="G105" s="129">
        <f t="shared" si="58"/>
        <v>0</v>
      </c>
      <c r="H105" s="108">
        <f>H74-H103</f>
        <v>0</v>
      </c>
      <c r="J105" s="108">
        <f t="shared" ref="J105:L105" si="59">F105-B105</f>
        <v>1400</v>
      </c>
      <c r="K105" s="129">
        <f t="shared" si="59"/>
        <v>1400</v>
      </c>
      <c r="L105" s="108">
        <f t="shared" si="59"/>
        <v>2800</v>
      </c>
      <c r="M105" s="129">
        <f t="shared" ref="M105:V105" si="60">M74-M103</f>
        <v>0</v>
      </c>
      <c r="N105" s="685">
        <f t="shared" si="60"/>
        <v>0</v>
      </c>
      <c r="O105" s="117">
        <f t="shared" si="60"/>
        <v>0</v>
      </c>
      <c r="P105" s="685">
        <f t="shared" si="60"/>
        <v>0</v>
      </c>
      <c r="Q105" s="117">
        <f t="shared" si="60"/>
        <v>0</v>
      </c>
      <c r="R105" s="685">
        <f t="shared" si="60"/>
        <v>0</v>
      </c>
      <c r="S105" s="117">
        <f t="shared" si="60"/>
        <v>0</v>
      </c>
      <c r="T105" s="685">
        <f t="shared" si="60"/>
        <v>0</v>
      </c>
      <c r="U105" s="117">
        <f t="shared" si="60"/>
        <v>0</v>
      </c>
      <c r="V105" s="685">
        <f t="shared" si="60"/>
        <v>0</v>
      </c>
      <c r="W105" s="117">
        <f t="shared" ref="W105:X105" si="61">W74-W103</f>
        <v>0</v>
      </c>
      <c r="X105" s="685">
        <f t="shared" si="61"/>
        <v>0</v>
      </c>
    </row>
    <row r="106" spans="1:24" ht="6.75" customHeight="1" x14ac:dyDescent="0.2">
      <c r="A106" s="264"/>
      <c r="C106" s="119"/>
      <c r="G106" s="119"/>
      <c r="K106" s="119"/>
      <c r="M106" s="105"/>
      <c r="N106" s="680"/>
      <c r="O106" s="106"/>
      <c r="P106" s="680"/>
      <c r="Q106" s="106"/>
      <c r="R106" s="680"/>
      <c r="S106" s="106"/>
      <c r="T106" s="680"/>
      <c r="U106" s="106"/>
      <c r="V106" s="680"/>
      <c r="W106" s="106"/>
      <c r="X106" s="680"/>
    </row>
    <row r="107" spans="1:24" s="130" customFormat="1" ht="31.5" x14ac:dyDescent="0.55000000000000004">
      <c r="A107" s="261" t="s">
        <v>303</v>
      </c>
      <c r="B107" s="134">
        <f>B72+B103</f>
        <v>1400</v>
      </c>
      <c r="C107" s="135">
        <f>C72+C103</f>
        <v>1400</v>
      </c>
      <c r="D107" s="131">
        <f>SUM(B107:C107)</f>
        <v>2800</v>
      </c>
      <c r="E107" s="133"/>
      <c r="F107" s="131">
        <f>F72+F103</f>
        <v>0</v>
      </c>
      <c r="G107" s="132">
        <f>G72+G103</f>
        <v>0</v>
      </c>
      <c r="H107" s="131">
        <f>H72+H103</f>
        <v>0</v>
      </c>
      <c r="I107" s="122"/>
      <c r="J107" s="134">
        <f t="shared" ref="J107:L107" si="62">F107-B107</f>
        <v>-1400</v>
      </c>
      <c r="K107" s="135">
        <f t="shared" si="62"/>
        <v>-1400</v>
      </c>
      <c r="L107" s="134">
        <f t="shared" si="62"/>
        <v>-2800</v>
      </c>
      <c r="M107" s="132">
        <f t="shared" ref="M107:X107" si="63">M72+M103</f>
        <v>0</v>
      </c>
      <c r="N107" s="687">
        <f t="shared" si="63"/>
        <v>0</v>
      </c>
      <c r="O107" s="136">
        <f t="shared" si="63"/>
        <v>0</v>
      </c>
      <c r="P107" s="687">
        <f t="shared" si="63"/>
        <v>0</v>
      </c>
      <c r="Q107" s="136">
        <f t="shared" si="63"/>
        <v>0</v>
      </c>
      <c r="R107" s="687">
        <f t="shared" si="63"/>
        <v>0</v>
      </c>
      <c r="S107" s="136">
        <f t="shared" si="63"/>
        <v>0</v>
      </c>
      <c r="T107" s="687">
        <f t="shared" si="63"/>
        <v>0</v>
      </c>
      <c r="U107" s="136">
        <f t="shared" si="63"/>
        <v>0</v>
      </c>
      <c r="V107" s="687">
        <f t="shared" si="63"/>
        <v>0</v>
      </c>
      <c r="W107" s="136">
        <f t="shared" si="63"/>
        <v>0</v>
      </c>
      <c r="X107" s="687">
        <f t="shared" si="63"/>
        <v>0</v>
      </c>
    </row>
    <row r="108" spans="1:24" s="130" customFormat="1" ht="9" customHeight="1" thickBot="1" x14ac:dyDescent="0.45">
      <c r="A108" s="280"/>
      <c r="C108" s="137"/>
      <c r="E108" s="133"/>
      <c r="G108" s="137"/>
      <c r="I108" s="133"/>
      <c r="J108" s="138"/>
      <c r="K108" s="139"/>
      <c r="L108" s="138"/>
      <c r="M108" s="140"/>
      <c r="N108" s="697"/>
      <c r="O108" s="141"/>
      <c r="P108" s="697"/>
      <c r="Q108" s="141"/>
      <c r="R108" s="697"/>
      <c r="S108" s="141"/>
      <c r="T108" s="697"/>
      <c r="U108" s="141"/>
      <c r="V108" s="697"/>
      <c r="W108" s="141"/>
      <c r="X108" s="697"/>
    </row>
    <row r="109" spans="1:24" s="130" customFormat="1" ht="30.75" thickBot="1" x14ac:dyDescent="0.3">
      <c r="A109" s="262" t="s">
        <v>304</v>
      </c>
      <c r="B109" s="205">
        <f>B20-B107</f>
        <v>-1400</v>
      </c>
      <c r="C109" s="206">
        <f>C20-C107</f>
        <v>-1400</v>
      </c>
      <c r="D109" s="207">
        <f>D20-D107</f>
        <v>-2800</v>
      </c>
      <c r="E109" s="208"/>
      <c r="F109" s="207">
        <f>F20-F107</f>
        <v>0</v>
      </c>
      <c r="G109" s="206">
        <f>G20-G107</f>
        <v>0</v>
      </c>
      <c r="H109" s="207">
        <f>H20-H107</f>
        <v>0</v>
      </c>
      <c r="I109" s="208"/>
      <c r="J109" s="207">
        <f t="shared" ref="J109:L109" si="64">F109-B109</f>
        <v>1400</v>
      </c>
      <c r="K109" s="206">
        <f t="shared" si="64"/>
        <v>1400</v>
      </c>
      <c r="L109" s="209">
        <f t="shared" si="64"/>
        <v>2800</v>
      </c>
      <c r="M109" s="203">
        <f t="shared" ref="M109:X109" si="65">M20-M107</f>
        <v>0</v>
      </c>
      <c r="N109" s="698">
        <f t="shared" si="65"/>
        <v>0</v>
      </c>
      <c r="O109" s="204">
        <f t="shared" si="65"/>
        <v>0</v>
      </c>
      <c r="P109" s="704">
        <f t="shared" si="65"/>
        <v>0</v>
      </c>
      <c r="Q109" s="204">
        <f t="shared" si="65"/>
        <v>0</v>
      </c>
      <c r="R109" s="704">
        <f t="shared" si="65"/>
        <v>0</v>
      </c>
      <c r="S109" s="204">
        <f t="shared" si="65"/>
        <v>0</v>
      </c>
      <c r="T109" s="704">
        <f t="shared" si="65"/>
        <v>0</v>
      </c>
      <c r="U109" s="204">
        <f t="shared" si="65"/>
        <v>0</v>
      </c>
      <c r="V109" s="704">
        <f t="shared" si="65"/>
        <v>0</v>
      </c>
      <c r="W109" s="204">
        <f t="shared" si="65"/>
        <v>0</v>
      </c>
      <c r="X109" s="705">
        <f t="shared" si="65"/>
        <v>0</v>
      </c>
    </row>
    <row r="110" spans="1:24" x14ac:dyDescent="0.2">
      <c r="C110" s="119"/>
      <c r="G110" s="119"/>
      <c r="K110" s="119"/>
      <c r="M110" s="105"/>
      <c r="N110" s="699"/>
      <c r="O110" s="105"/>
      <c r="P110" s="699"/>
      <c r="Q110" s="105"/>
      <c r="R110" s="699"/>
      <c r="S110" s="105"/>
      <c r="T110" s="699"/>
      <c r="U110" s="105"/>
      <c r="V110" s="699"/>
      <c r="W110" s="105"/>
      <c r="X110" s="699"/>
    </row>
    <row r="111" spans="1:24" ht="15.75" x14ac:dyDescent="0.25">
      <c r="A111" s="287" t="s">
        <v>169</v>
      </c>
      <c r="C111" s="119"/>
      <c r="G111" s="119"/>
      <c r="K111" s="119"/>
      <c r="M111" s="105"/>
      <c r="N111" s="699"/>
      <c r="O111" s="105"/>
      <c r="P111" s="699"/>
      <c r="Q111" s="105"/>
      <c r="R111" s="699"/>
      <c r="S111" s="105"/>
      <c r="T111" s="699"/>
      <c r="U111" s="105"/>
      <c r="V111" s="699"/>
      <c r="W111" s="105"/>
      <c r="X111" s="699"/>
    </row>
    <row r="112" spans="1:24" x14ac:dyDescent="0.2">
      <c r="A112" s="275" t="s">
        <v>322</v>
      </c>
      <c r="B112" s="14">
        <f>IF('House-Kitchen Budget Worksheet'!A4="",0,IF('House-Kitchen Budget Worksheet'!A4="9 months",'House-Kitchen Budget Worksheet'!H8*5,IF('House-Kitchen Budget Worksheet'!A4="12 months",'House-Kitchen Budget Worksheet'!G8*6)))</f>
        <v>0</v>
      </c>
      <c r="C112" s="79">
        <f>IF('House-Kitchen Budget Worksheet'!A4="",0,IF('House-Kitchen Budget Worksheet'!A4="9 months",'House-Kitchen Budget Worksheet'!H8*4,IF('House-Kitchen Budget Worksheet'!A4="12 months",'House-Kitchen Budget Worksheet'!G8*6)))</f>
        <v>0</v>
      </c>
      <c r="D112" s="14">
        <f>SUM(B112:C112)</f>
        <v>0</v>
      </c>
      <c r="F112" s="14">
        <f>SUM(M112:R112)</f>
        <v>0</v>
      </c>
      <c r="G112" s="79">
        <f>SUM(S112:X112)</f>
        <v>0</v>
      </c>
      <c r="H112" s="14">
        <f>SUM(F112:G112)</f>
        <v>0</v>
      </c>
      <c r="J112" s="14">
        <f>F112-B112</f>
        <v>0</v>
      </c>
      <c r="K112" s="79">
        <f>G112-C112</f>
        <v>0</v>
      </c>
      <c r="L112" s="14">
        <f>SUM(J112:K112)</f>
        <v>0</v>
      </c>
      <c r="M112" s="105">
        <f>SUMIFS('Payment Registry'!C13:C1013,'Payment Registry'!L13:L1013,"House - Rent (Chapter to House Corp/Landlord)",'Payment Registry'!B13:B1013,"7")</f>
        <v>0</v>
      </c>
      <c r="N112" s="699">
        <f>SUMIFS('Payment Registry'!C13:C1013,'Payment Registry'!L13:L1013,"House - Rent (Chapter to House Corp/Landlord)",'Payment Registry'!B13:B1013,"8")</f>
        <v>0</v>
      </c>
      <c r="O112" s="105">
        <f>SUMIFS('Payment Registry'!C13:C1013,'Payment Registry'!L13:L1013,"House - Rent (Chapter to House Corp/Landlord)",'Payment Registry'!B13:B1013,"9")</f>
        <v>0</v>
      </c>
      <c r="P112" s="699">
        <f>SUMIFS('Payment Registry'!C13:C1013,'Payment Registry'!L13:L1013,"House - Rent (Chapter to House Corp/Landlord)",'Payment Registry'!B13:B1013,"10")</f>
        <v>0</v>
      </c>
      <c r="Q112" s="105">
        <f>SUMIFS('Payment Registry'!C13:C1013,'Payment Registry'!L13:L1013,"House - Rent (Chapter to House Corp/Landlord)",'Payment Registry'!B13:B1013,"11")</f>
        <v>0</v>
      </c>
      <c r="R112" s="699">
        <f>SUMIFS('Payment Registry'!C13:C1013,'Payment Registry'!L13:L1013,"House - Rent (Chapter to House Corp/Landlord)",'Payment Registry'!B13:B1013,"12")</f>
        <v>0</v>
      </c>
      <c r="S112" s="105">
        <f>SUMIFS('Payment Registry'!C13:C1013,'Payment Registry'!L13:L1013,"House - Rent (Chapter to House Corp/Landlord)",'Payment Registry'!B13:B1013,"1")</f>
        <v>0</v>
      </c>
      <c r="T112" s="699">
        <f>SUMIFS('Payment Registry'!C13:C1013,'Payment Registry'!L13:L1013,"House - Rent (Chapter to House Corp/Landlord)",'Payment Registry'!B13:B1013,"2")</f>
        <v>0</v>
      </c>
      <c r="U112" s="105">
        <f>SUMIFS('Payment Registry'!C13:C1013,'Payment Registry'!L13:L1013,"House - Rent (Chapter to House Corp/Landlord)",'Payment Registry'!B13:B1013,"3")</f>
        <v>0</v>
      </c>
      <c r="V112" s="699">
        <f>SUMIFS('Payment Registry'!C13:C1013,'Payment Registry'!L13:L1013,"House - Rent (Chapter to House Corp/Landlord)",'Payment Registry'!B13:B1013,"4")</f>
        <v>0</v>
      </c>
      <c r="W112" s="105">
        <f>SUMIFS('Payment Registry'!C13:C1013,'Payment Registry'!L13:L1013,"House - Rent (Chapter to House Corp/Landlord)",'Payment Registry'!B13:B1013,"5")</f>
        <v>0</v>
      </c>
      <c r="X112" s="699">
        <f>SUMIFS('Payment Registry'!C13:C1013,'Payment Registry'!L13:L1013,"House - Rent (Chapter to House Corp/Landlord)",'Payment Registry'!B13:B1013,"6")</f>
        <v>0</v>
      </c>
    </row>
    <row r="113" spans="1:24" x14ac:dyDescent="0.2">
      <c r="A113" s="275" t="s">
        <v>237</v>
      </c>
      <c r="B113" s="14">
        <f>IF('House-Kitchen Budget Worksheet'!A4="",0,IF('House-Kitchen Budget Worksheet'!A4="9 months",'House-Kitchen Budget Worksheet'!H9*5,IF('House-Kitchen Budget Worksheet'!A4="12 months",'House-Kitchen Budget Worksheet'!G9*6)))</f>
        <v>0</v>
      </c>
      <c r="C113" s="79">
        <f>IF('House-Kitchen Budget Worksheet'!A4="",0,IF('House-Kitchen Budget Worksheet'!A4="9 months",'House-Kitchen Budget Worksheet'!H9*4,IF('House-Kitchen Budget Worksheet'!A4="12 months",'House-Kitchen Budget Worksheet'!G9*6)))</f>
        <v>0</v>
      </c>
      <c r="D113" s="14">
        <f>SUM(B113:C113)</f>
        <v>0</v>
      </c>
      <c r="F113" s="14">
        <f t="shared" ref="F113:F114" si="66">SUM(M113:R113)</f>
        <v>0</v>
      </c>
      <c r="G113" s="79">
        <f t="shared" ref="G113:G114" si="67">SUM(S113:X113)</f>
        <v>0</v>
      </c>
      <c r="H113" s="14">
        <f t="shared" ref="H113:H114" si="68">SUM(F113:G113)</f>
        <v>0</v>
      </c>
      <c r="J113" s="14">
        <f t="shared" ref="J113:J114" si="69">F113-B113</f>
        <v>0</v>
      </c>
      <c r="K113" s="79">
        <f t="shared" ref="K113:K114" si="70">G113-C113</f>
        <v>0</v>
      </c>
      <c r="L113" s="14">
        <f t="shared" ref="L113:L114" si="71">SUM(J113:K113)</f>
        <v>0</v>
      </c>
      <c r="M113" s="105">
        <f>SUMIFS('Payment Registry'!C13:C1013,'Payment Registry'!L13:L1013,"House - Insurance",'Payment Registry'!B13:B1013,"7")</f>
        <v>0</v>
      </c>
      <c r="N113" s="699">
        <f>SUMIFS('Payment Registry'!C13:C1013,'Payment Registry'!L13:L1013,"House - Insurance",'Payment Registry'!B13:B1013,"8")</f>
        <v>0</v>
      </c>
      <c r="O113" s="105">
        <f>SUMIFS('Payment Registry'!C13:C1013,'Payment Registry'!L13:L1013,"House - Insurance",'Payment Registry'!B13:B1013,"9")</f>
        <v>0</v>
      </c>
      <c r="P113" s="699">
        <f>SUMIFS('Payment Registry'!C13:C1013,'Payment Registry'!L13:L1013,"House - Insurance",'Payment Registry'!B13:B1013,"10")</f>
        <v>0</v>
      </c>
      <c r="Q113" s="105">
        <f>SUMIFS('Payment Registry'!C13:C1013,'Payment Registry'!L13:L1013,"House - Insurance",'Payment Registry'!B13:B1013,"11")</f>
        <v>0</v>
      </c>
      <c r="R113" s="699">
        <f>SUMIFS('Payment Registry'!C13:C1013,'Payment Registry'!L13:L1013,"House - Insurance",'Payment Registry'!B13:B1013,"12")</f>
        <v>0</v>
      </c>
      <c r="S113" s="105">
        <f>SUMIFS('Payment Registry'!C13:C1013,'Payment Registry'!L13:L1013,"House - Insurance",'Payment Registry'!B13:B1013,"1")</f>
        <v>0</v>
      </c>
      <c r="T113" s="699">
        <f>SUMIFS('Payment Registry'!C13:C1013,'Payment Registry'!L13:L1013,"House - Insurance",'Payment Registry'!B13:B1013,"2")</f>
        <v>0</v>
      </c>
      <c r="U113" s="105">
        <f>SUMIFS('Payment Registry'!C13:C1013,'Payment Registry'!L13:L1013,"House - Insurance",'Payment Registry'!B13:B1013,"3")</f>
        <v>0</v>
      </c>
      <c r="V113" s="699">
        <f>SUMIFS('Payment Registry'!C13:C1013,'Payment Registry'!L13:L1013,"House - Insurance",'Payment Registry'!B13:B1013,"4")</f>
        <v>0</v>
      </c>
      <c r="W113" s="105">
        <f>SUMIFS('Payment Registry'!C13:C1013,'Payment Registry'!L13:L1013,"House - Insurance",'Payment Registry'!B13:B1013,"5")</f>
        <v>0</v>
      </c>
      <c r="X113" s="699">
        <f>SUMIFS('Payment Registry'!C13:C1013,'Payment Registry'!L13:L1013,"House - Insurance",'Payment Registry'!B13:B1013,"6")</f>
        <v>0</v>
      </c>
    </row>
    <row r="114" spans="1:24" x14ac:dyDescent="0.2">
      <c r="A114" s="275" t="s">
        <v>238</v>
      </c>
      <c r="B114" s="14">
        <f>IF('House-Kitchen Budget Worksheet'!A4="",0,IF('House-Kitchen Budget Worksheet'!A4="9 months",'House-Kitchen Budget Worksheet'!H10*5,IF('House-Kitchen Budget Worksheet'!A4="12 months",'House-Kitchen Budget Worksheet'!G10*6)))</f>
        <v>0</v>
      </c>
      <c r="C114" s="79">
        <f>IF('House-Kitchen Budget Worksheet'!A4="",0,IF('House-Kitchen Budget Worksheet'!A4="9 months",'House-Kitchen Budget Worksheet'!H10*4,IF('House-Kitchen Budget Worksheet'!A4="12 months",'House-Kitchen Budget Worksheet'!G10*6)))</f>
        <v>0</v>
      </c>
      <c r="D114" s="14">
        <f>SUM(B114:C114)</f>
        <v>0</v>
      </c>
      <c r="F114" s="14">
        <f t="shared" si="66"/>
        <v>0</v>
      </c>
      <c r="G114" s="79">
        <f t="shared" si="67"/>
        <v>0</v>
      </c>
      <c r="H114" s="14">
        <f t="shared" si="68"/>
        <v>0</v>
      </c>
      <c r="J114" s="14">
        <f t="shared" si="69"/>
        <v>0</v>
      </c>
      <c r="K114" s="79">
        <f t="shared" si="70"/>
        <v>0</v>
      </c>
      <c r="L114" s="14">
        <f t="shared" si="71"/>
        <v>0</v>
      </c>
      <c r="M114" s="105">
        <f>SUMIFS('Payment Registry'!C13:C1013,'Payment Registry'!L13:L1013,"House - Household Supplies",'Payment Registry'!B13:B1013,"7")</f>
        <v>0</v>
      </c>
      <c r="N114" s="699">
        <f>SUMIFS('Payment Registry'!C13:C1013,'Payment Registry'!L13:L1013,"House - Household Supplies",'Payment Registry'!B13:B1013,"8")</f>
        <v>0</v>
      </c>
      <c r="O114" s="105">
        <f>SUMIFS('Payment Registry'!C13:C1013,'Payment Registry'!L13:L1013,"House - Household Supplies",'Payment Registry'!B13:B1013,"9")</f>
        <v>0</v>
      </c>
      <c r="P114" s="699">
        <f>SUMIFS('Payment Registry'!C13:C1013,'Payment Registry'!L13:L1013,"House - Household Supplies",'Payment Registry'!B13:B1013,"10")</f>
        <v>0</v>
      </c>
      <c r="Q114" s="105">
        <f>SUMIFS('Payment Registry'!C13:C1013,'Payment Registry'!L13:L1013,"House - Household Supplies",'Payment Registry'!B13:B1013,"11")</f>
        <v>0</v>
      </c>
      <c r="R114" s="699">
        <f>SUMIFS('Payment Registry'!C13:C1013,'Payment Registry'!L13:L1013,"House - Household Supplies",'Payment Registry'!B13:B1013,"12")</f>
        <v>0</v>
      </c>
      <c r="S114" s="105">
        <f>SUMIFS('Payment Registry'!C13:C1013,'Payment Registry'!L13:L1013,"House - Household Supplies",'Payment Registry'!B13:B1013,"1")</f>
        <v>0</v>
      </c>
      <c r="T114" s="699">
        <f>SUMIFS('Payment Registry'!C13:C1013,'Payment Registry'!L13:L1013,"House - Household Supplies",'Payment Registry'!B13:B1013,"2")</f>
        <v>0</v>
      </c>
      <c r="U114" s="105">
        <f>SUMIFS('Payment Registry'!C13:C1013,'Payment Registry'!L13:L1013,"House - Household Supplies",'Payment Registry'!B13:B1013,"3")</f>
        <v>0</v>
      </c>
      <c r="V114" s="699">
        <f>SUMIFS('Payment Registry'!C13:C1013,'Payment Registry'!L13:L1013,"House - Household Supplies",'Payment Registry'!B13:B1013,"4")</f>
        <v>0</v>
      </c>
      <c r="W114" s="105">
        <f>SUMIFS('Payment Registry'!C13:C1013,'Payment Registry'!L13:L1013,"House - Household Supplies",'Payment Registry'!B13:B1013,"5")</f>
        <v>0</v>
      </c>
      <c r="X114" s="699">
        <f>SUMIFS('Payment Registry'!C13:C1013,'Payment Registry'!L13:L1013,"House - Household Supplies",'Payment Registry'!B13:B1013,"6")</f>
        <v>0</v>
      </c>
    </row>
    <row r="115" spans="1:24" x14ac:dyDescent="0.2">
      <c r="A115" s="275" t="s">
        <v>239</v>
      </c>
      <c r="C115" s="119"/>
      <c r="G115" s="119"/>
      <c r="K115" s="119"/>
      <c r="M115" s="105"/>
      <c r="N115" s="699"/>
      <c r="O115" s="105"/>
      <c r="P115" s="699"/>
      <c r="Q115" s="105"/>
      <c r="R115" s="699"/>
      <c r="S115" s="105"/>
      <c r="T115" s="699"/>
      <c r="U115" s="105"/>
      <c r="V115" s="699"/>
      <c r="W115" s="105"/>
      <c r="X115" s="699"/>
    </row>
    <row r="116" spans="1:24" x14ac:dyDescent="0.2">
      <c r="A116" s="275" t="s">
        <v>240</v>
      </c>
      <c r="B116" s="14">
        <f>IF('House-Kitchen Budget Worksheet'!A4="",0,IF('House-Kitchen Budget Worksheet'!A4="9 months",'House-Kitchen Budget Worksheet'!H12*5,IF('House-Kitchen Budget Worksheet'!A4="12 months",'House-Kitchen Budget Worksheet'!G12*6)))</f>
        <v>0</v>
      </c>
      <c r="C116" s="79">
        <f>IF('House-Kitchen Budget Worksheet'!A4="",0,IF('House-Kitchen Budget Worksheet'!A4="9 months",'House-Kitchen Budget Worksheet'!H12*4,IF('House-Kitchen Budget Worksheet'!A4="12 months",'House-Kitchen Budget Worksheet'!G12*6)))</f>
        <v>0</v>
      </c>
      <c r="D116" s="14">
        <f t="shared" ref="D116:D122" si="72">SUM(B116:C116)</f>
        <v>0</v>
      </c>
      <c r="F116" s="14">
        <f t="shared" ref="F116:F122" si="73">SUM(M116:R116)</f>
        <v>0</v>
      </c>
      <c r="G116" s="79">
        <f t="shared" ref="G116:G122" si="74">SUM(S116:X116)</f>
        <v>0</v>
      </c>
      <c r="H116" s="14">
        <f t="shared" ref="H116:H122" si="75">SUM(F116:G116)</f>
        <v>0</v>
      </c>
      <c r="J116" s="14">
        <f t="shared" ref="J116:J122" si="76">F116-B116</f>
        <v>0</v>
      </c>
      <c r="K116" s="79">
        <f t="shared" ref="K116:K122" si="77">G116-C116</f>
        <v>0</v>
      </c>
      <c r="L116" s="14">
        <f t="shared" ref="L116:L122" si="78">SUM(J116:K116)</f>
        <v>0</v>
      </c>
      <c r="M116" s="105">
        <f>SUMIFS('Payment Registry'!C13:C1013,'Payment Registry'!L13:L1013,"House - Repairs: Windows",'Payment Registry'!B13:B1013,"7")</f>
        <v>0</v>
      </c>
      <c r="N116" s="699">
        <f>SUMIFS('Payment Registry'!C13:C1013,'Payment Registry'!L13:L1013,"House - Repairs: Windows",'Payment Registry'!B13:B1013,"8")</f>
        <v>0</v>
      </c>
      <c r="O116" s="105">
        <f>SUMIFS('Payment Registry'!C13:C1013,'Payment Registry'!L13:L1013,"House - Repairs: Windows",'Payment Registry'!B13:B1013,"9")</f>
        <v>0</v>
      </c>
      <c r="P116" s="699">
        <f>SUMIFS('Payment Registry'!C13:C1013,'Payment Registry'!L13:L1013,"House - Repairs: Windows",'Payment Registry'!B13:B1013,"10")</f>
        <v>0</v>
      </c>
      <c r="Q116" s="105">
        <f>SUMIFS('Payment Registry'!C13:C1013,'Payment Registry'!L13:L1013,"House - Repairs: Windows",'Payment Registry'!B13:B1013,"11")</f>
        <v>0</v>
      </c>
      <c r="R116" s="699">
        <f>SUMIFS('Payment Registry'!C13:C1013,'Payment Registry'!L13:L1013,"House - Repairs: Windows",'Payment Registry'!B13:B1013,"12")</f>
        <v>0</v>
      </c>
      <c r="S116" s="105">
        <f>SUMIFS('Payment Registry'!C13:C1013,'Payment Registry'!L13:L1013,"House - Repairs: Windows",'Payment Registry'!B13:B1013,"1")</f>
        <v>0</v>
      </c>
      <c r="T116" s="699">
        <f>SUMIFS('Payment Registry'!C13:C1013,'Payment Registry'!L13:L1013,"House - Repairs: Windows",'Payment Registry'!B13:B1013,"2")</f>
        <v>0</v>
      </c>
      <c r="U116" s="105">
        <f>SUMIFS('Payment Registry'!C13:C1013,'Payment Registry'!L13:L1013,"House - Repairs: Windows",'Payment Registry'!B13:B1013,"3")</f>
        <v>0</v>
      </c>
      <c r="V116" s="699">
        <f>SUMIFS('Payment Registry'!C13:C1013,'Payment Registry'!L13:L1013,"House - Repairs: Windows",'Payment Registry'!B13:B1013,"4")</f>
        <v>0</v>
      </c>
      <c r="W116" s="105">
        <f>SUMIFS('Payment Registry'!C13:C1013,'Payment Registry'!L13:L1013,"House - Repairs: Windows",'Payment Registry'!B13:B1013,"5")</f>
        <v>0</v>
      </c>
      <c r="X116" s="699">
        <f>SUMIFS('Payment Registry'!C13:C1013,'Payment Registry'!L13:L1013,"House - Repairs: Windows",'Payment Registry'!B13:B1013,"6")</f>
        <v>0</v>
      </c>
    </row>
    <row r="117" spans="1:24" x14ac:dyDescent="0.2">
      <c r="A117" s="275" t="s">
        <v>241</v>
      </c>
      <c r="B117" s="14">
        <f>IF('House-Kitchen Budget Worksheet'!A4="",0,IF('House-Kitchen Budget Worksheet'!A4="9 months",'House-Kitchen Budget Worksheet'!H13*5,IF('House-Kitchen Budget Worksheet'!A4="12 months",'House-Kitchen Budget Worksheet'!G13*6)))</f>
        <v>0</v>
      </c>
      <c r="C117" s="79">
        <f>IF('House-Kitchen Budget Worksheet'!A4="",0,IF('House-Kitchen Budget Worksheet'!A4="9 months",'House-Kitchen Budget Worksheet'!H13*4,IF('House-Kitchen Budget Worksheet'!A4="12 months",'House-Kitchen Budget Worksheet'!G13*6)))</f>
        <v>0</v>
      </c>
      <c r="D117" s="14">
        <f t="shared" si="72"/>
        <v>0</v>
      </c>
      <c r="F117" s="14">
        <f t="shared" si="73"/>
        <v>0</v>
      </c>
      <c r="G117" s="79">
        <f t="shared" si="74"/>
        <v>0</v>
      </c>
      <c r="H117" s="14">
        <f t="shared" si="75"/>
        <v>0</v>
      </c>
      <c r="J117" s="14">
        <f t="shared" si="76"/>
        <v>0</v>
      </c>
      <c r="K117" s="79">
        <f t="shared" si="77"/>
        <v>0</v>
      </c>
      <c r="L117" s="14">
        <f t="shared" si="78"/>
        <v>0</v>
      </c>
      <c r="M117" s="105">
        <f>SUMIFS('Payment Registry'!C13:C1013,'Payment Registry'!L13:L1013,"House - Repairs: Doors",'Payment Registry'!B13:B1013,"7")</f>
        <v>0</v>
      </c>
      <c r="N117" s="699">
        <f>SUMIFS('Payment Registry'!C13:C1013,'Payment Registry'!L13:L1013,"House - Repairs: Doors",'Payment Registry'!B13:B1013,"8")</f>
        <v>0</v>
      </c>
      <c r="O117" s="105">
        <f>SUMIFS('Payment Registry'!C13:C1013,'Payment Registry'!L13:L1013,"House - Repairs: Doors",'Payment Registry'!B13:B1013,"9")</f>
        <v>0</v>
      </c>
      <c r="P117" s="699">
        <f>SUMIFS('Payment Registry'!C13:C1013,'Payment Registry'!L13:L1013,"House - Repairs: Doors",'Payment Registry'!B13:B1013,"10")</f>
        <v>0</v>
      </c>
      <c r="Q117" s="105">
        <f>SUMIFS('Payment Registry'!C13:C1013,'Payment Registry'!L13:L1013,"House - Repairs: Doors",'Payment Registry'!B13:B1013,"11")</f>
        <v>0</v>
      </c>
      <c r="R117" s="699">
        <f>SUMIFS('Payment Registry'!C13:C1013,'Payment Registry'!L13:L1013,"House - Repairs: Doors",'Payment Registry'!B13:B1013,"12")</f>
        <v>0</v>
      </c>
      <c r="S117" s="105">
        <f>SUMIFS('Payment Registry'!C13:C1013,'Payment Registry'!L13:L1013,"House - Repairs: Doors",'Payment Registry'!B13:B1013,"1")</f>
        <v>0</v>
      </c>
      <c r="T117" s="699">
        <f>SUMIFS('Payment Registry'!C13:C1013,'Payment Registry'!L13:L1013,"House - Repairs: Doors",'Payment Registry'!B13:B1013,"2")</f>
        <v>0</v>
      </c>
      <c r="U117" s="105">
        <f>SUMIFS('Payment Registry'!C13:C1013,'Payment Registry'!L13:L1013,"House - Repairs: Doors",'Payment Registry'!B13:B1013,"3")</f>
        <v>0</v>
      </c>
      <c r="V117" s="699">
        <f>SUMIFS('Payment Registry'!C13:C1013,'Payment Registry'!L13:L1013,"House - Repairs: Doors",'Payment Registry'!B13:B1013,"4")</f>
        <v>0</v>
      </c>
      <c r="W117" s="105">
        <f>SUMIFS('Payment Registry'!C13:C1013,'Payment Registry'!L13:L1013,"House - Repairs: Doors",'Payment Registry'!B13:B1013,"5")</f>
        <v>0</v>
      </c>
      <c r="X117" s="699">
        <f>SUMIFS('Payment Registry'!C13:C1013,'Payment Registry'!L13:L1013,"House - Repairs: Doors",'Payment Registry'!B13:B1013,"6")</f>
        <v>0</v>
      </c>
    </row>
    <row r="118" spans="1:24" x14ac:dyDescent="0.2">
      <c r="A118" s="275" t="s">
        <v>242</v>
      </c>
      <c r="B118" s="14">
        <f>IF('House-Kitchen Budget Worksheet'!A4="",0,IF('House-Kitchen Budget Worksheet'!A4="9 months",'House-Kitchen Budget Worksheet'!H14*5,IF('House-Kitchen Budget Worksheet'!A4="12 months",'House-Kitchen Budget Worksheet'!G14*6)))</f>
        <v>0</v>
      </c>
      <c r="C118" s="79">
        <f>IF('House-Kitchen Budget Worksheet'!A4="",0,IF('House-Kitchen Budget Worksheet'!A4="9 months",'House-Kitchen Budget Worksheet'!H14*4,IF('House-Kitchen Budget Worksheet'!A4="12 months",'House-Kitchen Budget Worksheet'!G14*6)))</f>
        <v>0</v>
      </c>
      <c r="D118" s="14">
        <f t="shared" si="72"/>
        <v>0</v>
      </c>
      <c r="F118" s="14">
        <f t="shared" si="73"/>
        <v>0</v>
      </c>
      <c r="G118" s="79">
        <f t="shared" si="74"/>
        <v>0</v>
      </c>
      <c r="H118" s="14">
        <f t="shared" si="75"/>
        <v>0</v>
      </c>
      <c r="J118" s="14">
        <f t="shared" si="76"/>
        <v>0</v>
      </c>
      <c r="K118" s="79">
        <f t="shared" si="77"/>
        <v>0</v>
      </c>
      <c r="L118" s="14">
        <f t="shared" si="78"/>
        <v>0</v>
      </c>
      <c r="M118" s="105">
        <f>SUMIFS('Payment Registry'!C13:C1013,'Payment Registry'!L13:L1013,"House - Repairs: Appliances",'Payment Registry'!B13:B1013,"7")</f>
        <v>0</v>
      </c>
      <c r="N118" s="699">
        <f>SUMIFS('Payment Registry'!C13:C1013,'Payment Registry'!L13:L1013,"House - Repairs: Appliances",'Payment Registry'!B13:B1013,"8")</f>
        <v>0</v>
      </c>
      <c r="O118" s="105">
        <f>SUMIFS('Payment Registry'!C13:C1013,'Payment Registry'!L13:L1013,"House - Repairs: Appliances",'Payment Registry'!B13:B1013,"9")</f>
        <v>0</v>
      </c>
      <c r="P118" s="699">
        <f>SUMIFS('Payment Registry'!C13:C1013,'Payment Registry'!L13:L1013,"House - Repairs: Appliances",'Payment Registry'!B13:B1013,"10")</f>
        <v>0</v>
      </c>
      <c r="Q118" s="105">
        <f>SUMIFS('Payment Registry'!C13:C1013,'Payment Registry'!L13:L1013,"House - Repairs: Appliances",'Payment Registry'!B13:B1013,"11")</f>
        <v>0</v>
      </c>
      <c r="R118" s="699">
        <f>SUMIFS('Payment Registry'!C13:C1013,'Payment Registry'!L13:L1013,"House - Repairs: Appliances",'Payment Registry'!B13:B1013,"12")</f>
        <v>0</v>
      </c>
      <c r="S118" s="105">
        <f>SUMIFS('Payment Registry'!C13:C1013,'Payment Registry'!L13:L1013,"House - Repairs: Appliances",'Payment Registry'!B13:B1013,"1")</f>
        <v>0</v>
      </c>
      <c r="T118" s="699">
        <f>SUMIFS('Payment Registry'!C13:C1013,'Payment Registry'!L13:L1013,"House - Repairs: Appliances",'Payment Registry'!B13:B1013,"2")</f>
        <v>0</v>
      </c>
      <c r="U118" s="105">
        <f>SUMIFS('Payment Registry'!C13:C1013,'Payment Registry'!L13:L1013,"House - Repairs: Appliances",'Payment Registry'!B13:B1013,"3")</f>
        <v>0</v>
      </c>
      <c r="V118" s="699">
        <f>SUMIFS('Payment Registry'!C13:C1013,'Payment Registry'!L13:L1013,"House - Repairs: Appliances",'Payment Registry'!B13:B1013,"4")</f>
        <v>0</v>
      </c>
      <c r="W118" s="105">
        <f>SUMIFS('Payment Registry'!C13:C1013,'Payment Registry'!L13:L1013,"House - Repairs: Appliances",'Payment Registry'!B13:B1013,"5")</f>
        <v>0</v>
      </c>
      <c r="X118" s="699">
        <f>SUMIFS('Payment Registry'!C13:C1013,'Payment Registry'!L13:L1013,"House - Repairs: Appliances",'Payment Registry'!B13:B1013,"6")</f>
        <v>0</v>
      </c>
    </row>
    <row r="119" spans="1:24" x14ac:dyDescent="0.2">
      <c r="A119" s="275" t="s">
        <v>244</v>
      </c>
      <c r="B119" s="14">
        <f>IF('House-Kitchen Budget Worksheet'!A4="",0,IF('House-Kitchen Budget Worksheet'!A4="9 months",'House-Kitchen Budget Worksheet'!H15*5,IF('House-Kitchen Budget Worksheet'!A4="12 months",'House-Kitchen Budget Worksheet'!G15*6)))</f>
        <v>0</v>
      </c>
      <c r="C119" s="79">
        <f>IF('House-Kitchen Budget Worksheet'!A4="",0,IF('House-Kitchen Budget Worksheet'!A4="9 months",'House-Kitchen Budget Worksheet'!H15*4,IF('House-Kitchen Budget Worksheet'!A4="12 months",'House-Kitchen Budget Worksheet'!G15*6)))</f>
        <v>0</v>
      </c>
      <c r="D119" s="14">
        <f t="shared" si="72"/>
        <v>0</v>
      </c>
      <c r="F119" s="14">
        <f t="shared" si="73"/>
        <v>0</v>
      </c>
      <c r="G119" s="79">
        <f t="shared" si="74"/>
        <v>0</v>
      </c>
      <c r="H119" s="14">
        <f t="shared" si="75"/>
        <v>0</v>
      </c>
      <c r="J119" s="14">
        <f t="shared" si="76"/>
        <v>0</v>
      </c>
      <c r="K119" s="79">
        <f t="shared" si="77"/>
        <v>0</v>
      </c>
      <c r="L119" s="14">
        <f t="shared" si="78"/>
        <v>0</v>
      </c>
      <c r="M119" s="105">
        <f>SUMIFS('Payment Registry'!C13:C1013,'Payment Registry'!L13:L1013,"House - Repairs: Flooring",'Payment Registry'!B13:B1013,"7")</f>
        <v>0</v>
      </c>
      <c r="N119" s="699">
        <f>SUMIFS('Payment Registry'!C13:C1013,'Payment Registry'!L13:L1013,"House - Repairs: Flooring",'Payment Registry'!B13:B1013,"8")</f>
        <v>0</v>
      </c>
      <c r="O119" s="105">
        <f>SUMIFS('Payment Registry'!C13:C1013,'Payment Registry'!L13:L1013,"House - Repairs: Flooring",'Payment Registry'!B13:B1013,"9")</f>
        <v>0</v>
      </c>
      <c r="P119" s="699">
        <f>SUMIFS('Payment Registry'!C13:C1013,'Payment Registry'!L13:L1013,"House - Repairs: Flooring",'Payment Registry'!B13:B1013,"10")</f>
        <v>0</v>
      </c>
      <c r="Q119" s="105">
        <f>SUMIFS('Payment Registry'!C13:C1013,'Payment Registry'!L13:L1013,"House - Repairs: Flooring",'Payment Registry'!B13:B1013,"11")</f>
        <v>0</v>
      </c>
      <c r="R119" s="699">
        <f>SUMIFS('Payment Registry'!C13:C1013,'Payment Registry'!L13:L1013,"House - Repairs: Flooring",'Payment Registry'!B13:B1013,"12")</f>
        <v>0</v>
      </c>
      <c r="S119" s="105">
        <f>SUMIFS('Payment Registry'!C13:C1013,'Payment Registry'!L13:L1013,"House - Repairs: Flooring",'Payment Registry'!B13:B1013,"1")</f>
        <v>0</v>
      </c>
      <c r="T119" s="699">
        <f>SUMIFS('Payment Registry'!C13:C1013,'Payment Registry'!L13:L1013,"House - Repairs: Flooring",'Payment Registry'!B13:B1013,"2")</f>
        <v>0</v>
      </c>
      <c r="U119" s="105">
        <f>SUMIFS('Payment Registry'!C13:C1013,'Payment Registry'!L13:L1013,"House - Repairs: Flooring",'Payment Registry'!B13:B1013,"3")</f>
        <v>0</v>
      </c>
      <c r="V119" s="699">
        <f>SUMIFS('Payment Registry'!C13:C1013,'Payment Registry'!L13:L1013,"House - Repairs: Flooring",'Payment Registry'!B13:B1013,"4")</f>
        <v>0</v>
      </c>
      <c r="W119" s="105">
        <f>SUMIFS('Payment Registry'!C13:C1013,'Payment Registry'!L13:L1013,"House - Repairs: Flooring",'Payment Registry'!B13:B1013,"5")</f>
        <v>0</v>
      </c>
      <c r="X119" s="699">
        <f>SUMIFS('Payment Registry'!C13:C1013,'Payment Registry'!L13:L1013,"House - Repairs: Flooring",'Payment Registry'!B13:B1013,"6")</f>
        <v>0</v>
      </c>
    </row>
    <row r="120" spans="1:24" x14ac:dyDescent="0.2">
      <c r="A120" s="275" t="s">
        <v>245</v>
      </c>
      <c r="B120" s="14">
        <f>IF('House-Kitchen Budget Worksheet'!A4="",0,IF('House-Kitchen Budget Worksheet'!A4="9 months",'House-Kitchen Budget Worksheet'!H16*5,IF('House-Kitchen Budget Worksheet'!A4="12 months",'House-Kitchen Budget Worksheet'!G16*6)))</f>
        <v>0</v>
      </c>
      <c r="C120" s="79">
        <f>IF('House-Kitchen Budget Worksheet'!A4="",0,IF('House-Kitchen Budget Worksheet'!A4="9 months",'House-Kitchen Budget Worksheet'!H16*4,IF('House-Kitchen Budget Worksheet'!A4="12 months",'House-Kitchen Budget Worksheet'!G16*6)))</f>
        <v>0</v>
      </c>
      <c r="D120" s="14">
        <f t="shared" si="72"/>
        <v>0</v>
      </c>
      <c r="F120" s="14">
        <f t="shared" si="73"/>
        <v>0</v>
      </c>
      <c r="G120" s="79">
        <f t="shared" si="74"/>
        <v>0</v>
      </c>
      <c r="H120" s="14">
        <f t="shared" si="75"/>
        <v>0</v>
      </c>
      <c r="J120" s="14">
        <f t="shared" si="76"/>
        <v>0</v>
      </c>
      <c r="K120" s="79">
        <f t="shared" si="77"/>
        <v>0</v>
      </c>
      <c r="L120" s="14">
        <f t="shared" si="78"/>
        <v>0</v>
      </c>
      <c r="M120" s="105">
        <f>SUMIFS('Payment Registry'!C13:C1013,'Payment Registry'!L13:L1013,"House - Repairs: Lighting",'Payment Registry'!B13:B1013,"7")</f>
        <v>0</v>
      </c>
      <c r="N120" s="699">
        <f>SUMIFS('Payment Registry'!C13:C1013,'Payment Registry'!L13:L1013,"House - Repairs: Lighting",'Payment Registry'!B13:B1013,"8")</f>
        <v>0</v>
      </c>
      <c r="O120" s="105">
        <f>SUMIFS('Payment Registry'!C13:C1013,'Payment Registry'!L13:L1013,"House - Repairs: Lighting",'Payment Registry'!B13:B1013,"9")</f>
        <v>0</v>
      </c>
      <c r="P120" s="699">
        <f>SUMIFS('Payment Registry'!C13:C1013,'Payment Registry'!L13:L1013,"House - Repairs: Lighting",'Payment Registry'!B13:B1013,"10")</f>
        <v>0</v>
      </c>
      <c r="Q120" s="105">
        <f>SUMIFS('Payment Registry'!C13:C1013,'Payment Registry'!L13:L1013,"House - Repairs: Lighting",'Payment Registry'!B13:B1013,"11")</f>
        <v>0</v>
      </c>
      <c r="R120" s="699">
        <f>SUMIFS('Payment Registry'!C13:C1013,'Payment Registry'!L13:L1013,"House - Repairs: Lighting",'Payment Registry'!B13:B1013,"12")</f>
        <v>0</v>
      </c>
      <c r="S120" s="105">
        <f>SUMIFS('Payment Registry'!C13:C1013,'Payment Registry'!L13:L1013,"House - Repairs: Lighting",'Payment Registry'!B13:B1013,"1")</f>
        <v>0</v>
      </c>
      <c r="T120" s="699">
        <f>SUMIFS('Payment Registry'!C13:C1013,'Payment Registry'!L13:L1013,"House - Repairs: Lighting",'Payment Registry'!B13:B1013,"2")</f>
        <v>0</v>
      </c>
      <c r="U120" s="105">
        <f>SUMIFS('Payment Registry'!B13:B1013,'Payment Registry'!L13:L1013,"House - Repairs: Lighting",'Payment Registry'!B13:B1013,"3")</f>
        <v>0</v>
      </c>
      <c r="V120" s="699">
        <f>SUMIFS('Payment Registry'!C13:C1013,'Payment Registry'!L13:L1013,"House - Repairs: Lighting",'Payment Registry'!B13:B1013,"4")</f>
        <v>0</v>
      </c>
      <c r="W120" s="105">
        <f>SUMIFS('Payment Registry'!C13:C1013,'Payment Registry'!L13:L1013,"House - Repairs: Lighting",'Payment Registry'!B13:B1013,"5")</f>
        <v>0</v>
      </c>
      <c r="X120" s="699">
        <f>SUMIFS('Payment Registry'!C13:C1013,'Payment Registry'!L13:L1013,"House - Repairs: Lighting",'Payment Registry'!B13:B1013,"6")</f>
        <v>0</v>
      </c>
    </row>
    <row r="121" spans="1:24" x14ac:dyDescent="0.2">
      <c r="A121" s="275" t="s">
        <v>243</v>
      </c>
      <c r="B121" s="14">
        <f>IF('House-Kitchen Budget Worksheet'!A4="",0,IF('House-Kitchen Budget Worksheet'!A4="9 months",'House-Kitchen Budget Worksheet'!H17*5,IF('House-Kitchen Budget Worksheet'!A4="12 months",'House-Kitchen Budget Worksheet'!G17*6)))</f>
        <v>0</v>
      </c>
      <c r="C121" s="79">
        <f>IF('House-Kitchen Budget Worksheet'!A4="",0,IF('House-Kitchen Budget Worksheet'!A4="9 months",'House-Kitchen Budget Worksheet'!H17*4,IF('House-Kitchen Budget Worksheet'!A4="12 months",'House-Kitchen Budget Worksheet'!G17*6)))</f>
        <v>0</v>
      </c>
      <c r="D121" s="14">
        <f t="shared" si="72"/>
        <v>0</v>
      </c>
      <c r="F121" s="14">
        <f t="shared" si="73"/>
        <v>0</v>
      </c>
      <c r="G121" s="79">
        <f t="shared" si="74"/>
        <v>0</v>
      </c>
      <c r="H121" s="14">
        <f t="shared" si="75"/>
        <v>0</v>
      </c>
      <c r="J121" s="14">
        <f t="shared" si="76"/>
        <v>0</v>
      </c>
      <c r="K121" s="79">
        <f t="shared" si="77"/>
        <v>0</v>
      </c>
      <c r="L121" s="14">
        <f t="shared" si="78"/>
        <v>0</v>
      </c>
      <c r="M121" s="105">
        <f>SUMIFS('Payment Registry'!C13:C1013,'Payment Registry'!L13:L1013,"House - Repairs: Exterior",'Payment Registry'!B13:B1013,"7")</f>
        <v>0</v>
      </c>
      <c r="N121" s="699">
        <f>SUMIFS('Payment Registry'!C13:C1013,'Payment Registry'!L13:L1013,"House - Repairs: Exterior",'Payment Registry'!B13:B1013,"8")</f>
        <v>0</v>
      </c>
      <c r="O121" s="105">
        <f>SUMIFS('Payment Registry'!C13:C1013,'Payment Registry'!L13:L1013,"House - Repairs: Exterior",'Payment Registry'!B13:B1013,"9")</f>
        <v>0</v>
      </c>
      <c r="P121" s="699">
        <f>SUMIFS('Payment Registry'!C13:C1013,'Payment Registry'!L13:L1013,"House - Repairs: Exterior",'Payment Registry'!B13:B1013,"10")</f>
        <v>0</v>
      </c>
      <c r="Q121" s="105">
        <f>SUMIFS('Payment Registry'!C13:C1013,'Payment Registry'!L13:L1013,"House - Repairs: Exterior",'Payment Registry'!B13:B1013,"11")</f>
        <v>0</v>
      </c>
      <c r="R121" s="699">
        <f>SUMIFS('Payment Registry'!C13:C1013,'Payment Registry'!L13:L1013,"House - Repairs: Exterior",'Payment Registry'!B13:B1013,"12")</f>
        <v>0</v>
      </c>
      <c r="S121" s="105">
        <f>SUMIFS('Payment Registry'!C13:C1013,'Payment Registry'!L13:L1013,"House - Repairs: Exterior",'Payment Registry'!B13:B1013,"1")</f>
        <v>0</v>
      </c>
      <c r="T121" s="699">
        <f>SUMIFS('Payment Registry'!C13:C1013,'Payment Registry'!L13:L1013,"House - Repairs: Exterior",'Payment Registry'!B13:B1013,"2")</f>
        <v>0</v>
      </c>
      <c r="U121" s="105">
        <f>SUMIFS('Payment Registry'!C13:C1013,'Payment Registry'!L13:L1013,"House - Repairs: Exterior",'Payment Registry'!B13:B1013,"3")</f>
        <v>0</v>
      </c>
      <c r="V121" s="699">
        <f>SUMIFS('Payment Registry'!C13:C1013,'Payment Registry'!L13:L1013,"House - Repairs: Exterior",'Payment Registry'!B13:B1013,"4")</f>
        <v>0</v>
      </c>
      <c r="W121" s="105">
        <f>SUMIFS('Payment Registry'!C13:C1013,'Payment Registry'!L13:L1013,"House - Repairs: Exterior",'Payment Registry'!B13:B1013,"5")</f>
        <v>0</v>
      </c>
      <c r="X121" s="699">
        <f>SUMIFS('Payment Registry'!C13:C1013,'Payment Registry'!L13:L1013,"House - Repairs: Exterior",'Payment Registry'!B13:B1013,"6")</f>
        <v>0</v>
      </c>
    </row>
    <row r="122" spans="1:24" x14ac:dyDescent="0.2">
      <c r="A122" s="275" t="s">
        <v>250</v>
      </c>
      <c r="B122" s="14">
        <f>IF('House-Kitchen Budget Worksheet'!A4="",0,IF('House-Kitchen Budget Worksheet'!A4="9 months",'House-Kitchen Budget Worksheet'!H18*5,IF('House-Kitchen Budget Worksheet'!A4="12 months",'House-Kitchen Budget Worksheet'!G18*6)))</f>
        <v>0</v>
      </c>
      <c r="C122" s="79">
        <f>IF('House-Kitchen Budget Worksheet'!A4="",0,IF('House-Kitchen Budget Worksheet'!A4="9 months",'House-Kitchen Budget Worksheet'!H18*4,IF('House-Kitchen Budget Worksheet'!A4="12 months",'House-Kitchen Budget Worksheet'!G18*6)))</f>
        <v>0</v>
      </c>
      <c r="D122" s="14">
        <f t="shared" si="72"/>
        <v>0</v>
      </c>
      <c r="F122" s="14">
        <f t="shared" si="73"/>
        <v>0</v>
      </c>
      <c r="G122" s="79">
        <f t="shared" si="74"/>
        <v>0</v>
      </c>
      <c r="H122" s="14">
        <f t="shared" si="75"/>
        <v>0</v>
      </c>
      <c r="J122" s="14">
        <f t="shared" si="76"/>
        <v>0</v>
      </c>
      <c r="K122" s="79">
        <f t="shared" si="77"/>
        <v>0</v>
      </c>
      <c r="L122" s="14">
        <f t="shared" si="78"/>
        <v>0</v>
      </c>
      <c r="M122" s="105">
        <f>SUMIFS('Payment Registry'!C13:C1013,'Payment Registry'!L13:L1013,"House - Repairs: Other",'Payment Registry'!B13:B1013,"7")</f>
        <v>0</v>
      </c>
      <c r="N122" s="699">
        <f>SUMIFS('Payment Registry'!C13:C1013,'Payment Registry'!L13:L1013,"House - Repairs: Other",'Payment Registry'!B13:B1013,"8")</f>
        <v>0</v>
      </c>
      <c r="O122" s="105">
        <f>SUMIFS('Payment Registry'!C13:C1013,'Payment Registry'!L13:L1013,"House - Repairs: Other",'Payment Registry'!B13:B1013,"9")</f>
        <v>0</v>
      </c>
      <c r="P122" s="699">
        <f>SUMIFS('Payment Registry'!C13:C1013,'Payment Registry'!L13:L1013,"House - Repairs: Other",'Payment Registry'!B13:B1013,"10")</f>
        <v>0</v>
      </c>
      <c r="Q122" s="105">
        <f>SUMIFS('Payment Registry'!C13:C1013,'Payment Registry'!L13:L1013,"House - Repairs: Other",'Payment Registry'!B13:B1013,"11")</f>
        <v>0</v>
      </c>
      <c r="R122" s="699">
        <f>SUMIFS('Payment Registry'!C13:C1013,'Payment Registry'!L13:L1013,"House - Repairs: Other",'Payment Registry'!B13:B1013,"12")</f>
        <v>0</v>
      </c>
      <c r="S122" s="105">
        <f>SUMIFS('Payment Registry'!C13:C1013,'Payment Registry'!L13:L1013,"House - Repairs: Other",'Payment Registry'!B13:B1013,"1")</f>
        <v>0</v>
      </c>
      <c r="T122" s="699">
        <f>SUMIFS('Payment Registry'!C13:C1013,'Payment Registry'!L13:L1013,"House - Repairs: Other",'Payment Registry'!B13:B1013,"2")</f>
        <v>0</v>
      </c>
      <c r="U122" s="105">
        <f>SUMIFS('Payment Registry'!C13:C1013,'Payment Registry'!L13:L1013,"House - Repairs: Other",'Payment Registry'!B13:B1013,"3")</f>
        <v>0</v>
      </c>
      <c r="V122" s="699">
        <f>SUMIFS('Payment Registry'!C13:C1013,'Payment Registry'!L13:L1013,"House - Repairs: Other",'Payment Registry'!B13:B1013,"4")</f>
        <v>0</v>
      </c>
      <c r="W122" s="105">
        <f>SUMIFS('Payment Registry'!C13:C1013,'Payment Registry'!L13:L1013,"House - Repairs: Other",'Payment Registry'!B13:B1013,"5")</f>
        <v>0</v>
      </c>
      <c r="X122" s="699">
        <f>SUMIFS('Payment Registry'!C13:C1013,'Payment Registry'!L13:L1013,"House - Repairs: Other",'Payment Registry'!B13:B1013,"6")</f>
        <v>0</v>
      </c>
    </row>
    <row r="123" spans="1:24" x14ac:dyDescent="0.2">
      <c r="A123" s="275" t="s">
        <v>246</v>
      </c>
      <c r="C123" s="119"/>
      <c r="G123" s="119"/>
      <c r="K123" s="119"/>
      <c r="M123" s="105"/>
      <c r="N123" s="699"/>
      <c r="O123" s="105"/>
      <c r="P123" s="699"/>
      <c r="Q123" s="105"/>
      <c r="R123" s="699"/>
      <c r="S123" s="105"/>
      <c r="T123" s="699"/>
      <c r="U123" s="105"/>
      <c r="V123" s="699"/>
      <c r="W123" s="105"/>
      <c r="X123" s="699"/>
    </row>
    <row r="124" spans="1:24" x14ac:dyDescent="0.2">
      <c r="A124" s="275" t="s">
        <v>247</v>
      </c>
      <c r="B124" s="14">
        <f>IF('House-Kitchen Budget Worksheet'!A4="",0,IF('House-Kitchen Budget Worksheet'!A4="9 months",'House-Kitchen Budget Worksheet'!H20*5,IF('House-Kitchen Budget Worksheet'!A4="12 months",'House-Kitchen Budget Worksheet'!G20*6)))</f>
        <v>0</v>
      </c>
      <c r="C124" s="79">
        <f>IF('House-Kitchen Budget Worksheet'!A4="",0,IF('House-Kitchen Budget Worksheet'!A4="9 months",'House-Kitchen Budget Worksheet'!H20*4,IF('House-Kitchen Budget Worksheet'!A4="12 months",'House-Kitchen Budget Worksheet'!G20*6)))</f>
        <v>0</v>
      </c>
      <c r="D124" s="14">
        <f t="shared" ref="D124:D141" si="79">SUM(B124:C124)</f>
        <v>0</v>
      </c>
      <c r="F124" s="14">
        <f t="shared" ref="F124:F141" si="80">SUM(M124:R124)</f>
        <v>0</v>
      </c>
      <c r="G124" s="79">
        <f t="shared" ref="G124:G141" si="81">SUM(S124:X124)</f>
        <v>0</v>
      </c>
      <c r="H124" s="14">
        <f t="shared" ref="H124:H141" si="82">SUM(F124:G124)</f>
        <v>0</v>
      </c>
      <c r="J124" s="14">
        <f t="shared" ref="J124:J141" si="83">F124-B124</f>
        <v>0</v>
      </c>
      <c r="K124" s="79">
        <f t="shared" ref="K124:K141" si="84">G124-C124</f>
        <v>0</v>
      </c>
      <c r="L124" s="14">
        <f t="shared" ref="L124:L141" si="85">SUM(J124:K124)</f>
        <v>0</v>
      </c>
      <c r="M124" s="105">
        <f>SUMIFS('Payment Registry'!C13:C1013,'Payment Registry'!L13:L1013,"House - Maintenance: Lawn/Grounds",'Payment Registry'!B13:B1013,"7")</f>
        <v>0</v>
      </c>
      <c r="N124" s="699">
        <f>SUMIFS('Payment Registry'!C13:C1013,'Payment Registry'!L13:L1013,"House - Maintenance: Lawn/Grounds",'Payment Registry'!B13:B1013,"8")</f>
        <v>0</v>
      </c>
      <c r="O124" s="105">
        <f>SUMIFS('Payment Registry'!C13:C1013,'Payment Registry'!L13:L1013,"House - Maintenance: Lawn/Grounds",'Payment Registry'!B13:B1013,"9")</f>
        <v>0</v>
      </c>
      <c r="P124" s="699">
        <f>SUMIFS('Payment Registry'!C13:C1013,'Payment Registry'!L13:L1013,"House - Maintenance: Lawn/Grounds",'Payment Registry'!B13:B1013,"10")</f>
        <v>0</v>
      </c>
      <c r="Q124" s="105">
        <f>SUMIFS('Payment Registry'!C13:C1013,'Payment Registry'!L13:L1013,"House - Maintenance: Lawn/Grounds",'Payment Registry'!B13:B1013,"11")</f>
        <v>0</v>
      </c>
      <c r="R124" s="699">
        <f>SUMIFS('Payment Registry'!C13:C1013,'Payment Registry'!L13:L1013,"House - Maintenance: Lawn/Grounds",'Payment Registry'!B13:B1013,"12")</f>
        <v>0</v>
      </c>
      <c r="S124" s="105">
        <f>SUMIFS('Payment Registry'!C13:C1013,'Payment Registry'!L13:L1013,"House - Maintenance: Lawn/Grounds",'Payment Registry'!B13:B1013,"1")</f>
        <v>0</v>
      </c>
      <c r="T124" s="699">
        <f>SUMIFS('Payment Registry'!C13:C1013,'Payment Registry'!L13:L1013,"House - Maintenance: Lawn/Grounds",'Payment Registry'!B13:B1013,"2")</f>
        <v>0</v>
      </c>
      <c r="U124" s="105">
        <f>SUMIFS('Payment Registry'!C13:C1013,'Payment Registry'!L13:L1013,"House - Maintenance: Lawn/Grounds",'Payment Registry'!B13:B1013,"3")</f>
        <v>0</v>
      </c>
      <c r="V124" s="699">
        <f>SUMIFS('Payment Registry'!C13:C1013,'Payment Registry'!L13:L1013,"House - Maintenance: Lawn/Grounds",'Payment Registry'!B13:B1013,"4")</f>
        <v>0</v>
      </c>
      <c r="W124" s="105">
        <f>SUMIFS('Payment Registry'!C13:C1013,'Payment Registry'!L13:L1013,"House - Maintenance: Lawn/Grounds",'Payment Registry'!B13:B1013,"5")</f>
        <v>0</v>
      </c>
      <c r="X124" s="699">
        <f>SUMIFS('Payment Registry'!C13:C1013,'Payment Registry'!L13:L1013,"House - Maintenance: Lawn/Grounds",'Payment Registry'!B13:B1013,"6")</f>
        <v>0</v>
      </c>
    </row>
    <row r="125" spans="1:24" x14ac:dyDescent="0.2">
      <c r="A125" s="275" t="s">
        <v>248</v>
      </c>
      <c r="B125" s="14">
        <f>IF('House-Kitchen Budget Worksheet'!A4="",0,IF('House-Kitchen Budget Worksheet'!A4="9 months",'House-Kitchen Budget Worksheet'!H21*5,IF('House-Kitchen Budget Worksheet'!A4="12 months",'House-Kitchen Budget Worksheet'!G21*6)))</f>
        <v>0</v>
      </c>
      <c r="C125" s="79">
        <f>IF('House-Kitchen Budget Worksheet'!A4="",0,IF('House-Kitchen Budget Worksheet'!A4="9 months",'House-Kitchen Budget Worksheet'!H21*4,IF('House-Kitchen Budget Worksheet'!A4="12 months",'House-Kitchen Budget Worksheet'!G21*6)))</f>
        <v>0</v>
      </c>
      <c r="D125" s="14">
        <f t="shared" si="79"/>
        <v>0</v>
      </c>
      <c r="F125" s="14">
        <f t="shared" si="80"/>
        <v>0</v>
      </c>
      <c r="G125" s="79">
        <f t="shared" si="81"/>
        <v>0</v>
      </c>
      <c r="H125" s="14">
        <f t="shared" si="82"/>
        <v>0</v>
      </c>
      <c r="J125" s="14">
        <f t="shared" si="83"/>
        <v>0</v>
      </c>
      <c r="K125" s="79">
        <f t="shared" si="84"/>
        <v>0</v>
      </c>
      <c r="L125" s="14">
        <f t="shared" si="85"/>
        <v>0</v>
      </c>
      <c r="M125" s="105">
        <f>SUMIFS('Payment Registry'!C13:C1013,'Payment Registry'!L13:L1013,"House - Maintenance: Pest Control",'Payment Registry'!B13:B1013,"7")</f>
        <v>0</v>
      </c>
      <c r="N125" s="699">
        <f>SUMIFS('Payment Registry'!C13:C1013,'Payment Registry'!L13:L1013,"House - Maintenance: Pest Control",'Payment Registry'!B13:B1013,"8")</f>
        <v>0</v>
      </c>
      <c r="O125" s="105">
        <f>SUMIFS('Payment Registry'!C13:C1013,'Payment Registry'!L13:L1013,"House - Maintenance: Pest Control",'Payment Registry'!B13:B1013,"9")</f>
        <v>0</v>
      </c>
      <c r="P125" s="699">
        <f>SUMIFS('Payment Registry'!C13:C1013,'Payment Registry'!L13:L1013,"House - Maintenance: Pest Control",'Payment Registry'!B13:B1013,"10")</f>
        <v>0</v>
      </c>
      <c r="Q125" s="105">
        <f>SUMIFS('Payment Registry'!C13:C1013,'Payment Registry'!L13:L1013,"House - Maintenance: Pest Control",'Payment Registry'!B13:B1013,"11")</f>
        <v>0</v>
      </c>
      <c r="R125" s="699">
        <f>SUMIFS('Payment Registry'!C13:C1013,'Payment Registry'!L13:L1013,"House - Maintenance: Pest Control",'Payment Registry'!B13:B1013,"12")</f>
        <v>0</v>
      </c>
      <c r="S125" s="105">
        <f>SUMIFS('Payment Registry'!C13:C1013,'Payment Registry'!L13:L1013,"House - Maintenance: Pest Control",'Payment Registry'!B13:B1013,"1")</f>
        <v>0</v>
      </c>
      <c r="T125" s="699">
        <f>SUMIFS('Payment Registry'!C13:C1013,'Payment Registry'!L13:L1013,"House - Maintenance: Pest Control",'Payment Registry'!B13:B1013,"2")</f>
        <v>0</v>
      </c>
      <c r="U125" s="105">
        <f>SUMIFS('Payment Registry'!C13:C1013,'Payment Registry'!L13:L1013,"House - Maintenance: Pest Control",'Payment Registry'!B13:B1013,"3")</f>
        <v>0</v>
      </c>
      <c r="V125" s="699">
        <f>SUMIFS('Payment Registry'!C13:C1013,'Payment Registry'!L13:L1013,"House - Maintenance: Pest Control",'Payment Registry'!B13:B1013,"4")</f>
        <v>0</v>
      </c>
      <c r="W125" s="105">
        <f>SUMIFS('Payment Registry'!C13:C1013,'Payment Registry'!L13:L1013,"House - Maintenance: Pest Control",'Payment Registry'!B13:B1013,"5")</f>
        <v>0</v>
      </c>
      <c r="X125" s="699">
        <f>SUMIFS('Payment Registry'!C13:C1013,'Payment Registry'!L13:L1013,"House - Maintenance: Pest Control",'Payment Registry'!B13:B1013,"6")</f>
        <v>0</v>
      </c>
    </row>
    <row r="126" spans="1:24" x14ac:dyDescent="0.2">
      <c r="A126" s="275" t="s">
        <v>249</v>
      </c>
      <c r="B126" s="14">
        <f>IF('House-Kitchen Budget Worksheet'!A4="",0,IF('House-Kitchen Budget Worksheet'!A4="9 months",'House-Kitchen Budget Worksheet'!H22*5,IF('House-Kitchen Budget Worksheet'!A4="12 months",'House-Kitchen Budget Worksheet'!G22*6)))</f>
        <v>0</v>
      </c>
      <c r="C126" s="79">
        <f>IF('House-Kitchen Budget Worksheet'!A4="",0,IF('House-Kitchen Budget Worksheet'!A4="9 months",'House-Kitchen Budget Worksheet'!H22*4,IF('House-Kitchen Budget Worksheet'!A4="12 months",'House-Kitchen Budget Worksheet'!G22*6)))</f>
        <v>0</v>
      </c>
      <c r="D126" s="14">
        <f t="shared" si="79"/>
        <v>0</v>
      </c>
      <c r="F126" s="14">
        <f t="shared" si="80"/>
        <v>0</v>
      </c>
      <c r="G126" s="79">
        <f t="shared" si="81"/>
        <v>0</v>
      </c>
      <c r="H126" s="14">
        <f t="shared" si="82"/>
        <v>0</v>
      </c>
      <c r="J126" s="14">
        <f t="shared" si="83"/>
        <v>0</v>
      </c>
      <c r="K126" s="79">
        <f t="shared" si="84"/>
        <v>0</v>
      </c>
      <c r="L126" s="14">
        <f t="shared" si="85"/>
        <v>0</v>
      </c>
      <c r="M126" s="105">
        <f>SUMIFS('Payment Registry'!C13:C1013,'Payment Registry'!L13:L1013,"House - Maintenance: HVAC",'Payment Registry'!B13:B1013,"7")</f>
        <v>0</v>
      </c>
      <c r="N126" s="699">
        <f>SUMIFS('Payment Registry'!C13:C1013,'Payment Registry'!L13:L1013,"House - Maintenance: HVAC",'Payment Registry'!B13:B1013,"8")</f>
        <v>0</v>
      </c>
      <c r="O126" s="105">
        <f>SUMIFS('Payment Registry'!C13:C1013,'Payment Registry'!L13:L1013,"House - Maintenance: HVAC",'Payment Registry'!B13:B1013,"9")</f>
        <v>0</v>
      </c>
      <c r="P126" s="699">
        <f>SUMIFS('Payment Registry'!C13:C1013,'Payment Registry'!L13:L1013,"House - Maintenance: HVAC",'Payment Registry'!B13:B1013,"10")</f>
        <v>0</v>
      </c>
      <c r="Q126" s="105">
        <f>SUMIFS('Payment Registry'!C13:C1013,'Payment Registry'!L13:L1013,"House - Maintenance: HVAC",'Payment Registry'!B13:B1013,"11")</f>
        <v>0</v>
      </c>
      <c r="R126" s="699">
        <f>SUMIFS('Payment Registry'!C13:C1013,'Payment Registry'!L13:L1013,"House - Maintenance: HVAC",'Payment Registry'!B13:B1013,"12")</f>
        <v>0</v>
      </c>
      <c r="S126" s="105">
        <f>SUMIFS('Payment Registry'!C13:C1013,'Payment Registry'!L13:L1013,"House - Maintenance: HVAC",'Payment Registry'!B13:B1013,"1")</f>
        <v>0</v>
      </c>
      <c r="T126" s="699">
        <f>SUMIFS('Payment Registry'!C13:C1013,'Payment Registry'!L13:L1013,"House - Maintenance: HVAC",'Payment Registry'!B13:B1013,"2")</f>
        <v>0</v>
      </c>
      <c r="U126" s="105">
        <f>SUMIFS('Payment Registry'!C13:C1013,'Payment Registry'!L13:L1013,"House - Maintenance: HVAC",'Payment Registry'!B13:B1013,"3")</f>
        <v>0</v>
      </c>
      <c r="V126" s="699">
        <f>SUMIFS('Payment Registry'!C13:C1013,'Payment Registry'!L13:L1013,"House - Maintenance: HVAC",'Payment Registry'!B13:B1013,"4")</f>
        <v>0</v>
      </c>
      <c r="W126" s="105">
        <f>SUMIFS('Payment Registry'!C13:C1013,'Payment Registry'!L13:L1013,"House - Maintenance: HVAC",'Payment Registry'!B13:B1013,"5")</f>
        <v>0</v>
      </c>
      <c r="X126" s="699">
        <f>SUMIFS('Payment Registry'!C13:C1013,'Payment Registry'!L13:L1013,"House - Maintenance: HVAC",'Payment Registry'!B13:B1013,"6")</f>
        <v>0</v>
      </c>
    </row>
    <row r="127" spans="1:24" x14ac:dyDescent="0.2">
      <c r="A127" s="275" t="s">
        <v>250</v>
      </c>
      <c r="B127" s="14">
        <f>IF('House-Kitchen Budget Worksheet'!A4="",0,IF('House-Kitchen Budget Worksheet'!A4="9 months",'House-Kitchen Budget Worksheet'!H23*5,IF('House-Kitchen Budget Worksheet'!A4="12 months",'House-Kitchen Budget Worksheet'!G23*6)))</f>
        <v>0</v>
      </c>
      <c r="C127" s="79">
        <f>IF('House-Kitchen Budget Worksheet'!A4="",0,IF('House-Kitchen Budget Worksheet'!A4="9 months",'House-Kitchen Budget Worksheet'!H23*4,IF('House-Kitchen Budget Worksheet'!A4="12 months",'House-Kitchen Budget Worksheet'!G23*6)))</f>
        <v>0</v>
      </c>
      <c r="D127" s="14">
        <f t="shared" si="79"/>
        <v>0</v>
      </c>
      <c r="F127" s="14">
        <f t="shared" si="80"/>
        <v>0</v>
      </c>
      <c r="G127" s="79">
        <f t="shared" si="81"/>
        <v>0</v>
      </c>
      <c r="H127" s="14">
        <f t="shared" si="82"/>
        <v>0</v>
      </c>
      <c r="J127" s="14">
        <f t="shared" si="83"/>
        <v>0</v>
      </c>
      <c r="K127" s="79">
        <f t="shared" si="84"/>
        <v>0</v>
      </c>
      <c r="L127" s="14">
        <f t="shared" si="85"/>
        <v>0</v>
      </c>
      <c r="M127" s="105">
        <f>SUMIFS('Payment Registry'!C13:C1013,'Payment Registry'!L13:L1013,"House - Maintenance: Other",'Payment Registry'!B13:B1013,"7")</f>
        <v>0</v>
      </c>
      <c r="N127" s="699">
        <f>SUMIFS('Payment Registry'!C13:C1013,'Payment Registry'!L13:L1013,"House - Maintenance: Other",'Payment Registry'!B13:B1013,"8")</f>
        <v>0</v>
      </c>
      <c r="O127" s="105">
        <f>SUMIFS('Payment Registry'!C13:C1013,'Payment Registry'!L13:L1013,"House - Maintenance: Other",'Payment Registry'!B13:B1013,"9")</f>
        <v>0</v>
      </c>
      <c r="P127" s="699">
        <f>SUMIFS('Payment Registry'!C13:C1013,'Payment Registry'!L13:L1013,"House - Maintenance: Other",'Payment Registry'!B13:B1013,"10")</f>
        <v>0</v>
      </c>
      <c r="Q127" s="105">
        <f>SUMIFS('Payment Registry'!C13:C1013,'Payment Registry'!L13:L1013,"House - Maintenance: Other",'Payment Registry'!B13:B1013,"11")</f>
        <v>0</v>
      </c>
      <c r="R127" s="699">
        <f>SUMIFS('Payment Registry'!C13:C1013,'Payment Registry'!L13:L1013,"House - Maintenance: Other",'Payment Registry'!B13:B1013,"12")</f>
        <v>0</v>
      </c>
      <c r="S127" s="105">
        <f>SUMIFS('Payment Registry'!C13:C1013,'Payment Registry'!L13:L1013,"House - Maintenance: Other",'Payment Registry'!B13:B1013,"1")</f>
        <v>0</v>
      </c>
      <c r="T127" s="699">
        <f>SUMIFS('Payment Registry'!C13:C1013,'Payment Registry'!L13:L1013,"House - Maintenance: Other",'Payment Registry'!B13:B1013,"2")</f>
        <v>0</v>
      </c>
      <c r="U127" s="105">
        <f>SUMIFS('Payment Registry'!C13:C1013,'Payment Registry'!L13:L1013,"House - Maintenance: Other",'Payment Registry'!B13:B1013,"3")</f>
        <v>0</v>
      </c>
      <c r="V127" s="699">
        <f>SUMIFS('Payment Registry'!C13:C1013,'Payment Registry'!L13:L1013,"House - Maintenance: Other",'Payment Registry'!B13:B1013,"4")</f>
        <v>0</v>
      </c>
      <c r="W127" s="105">
        <f>SUMIFS('Payment Registry'!C13:C1013,'Payment Registry'!L13:L1013,"House - Maintenance: Other",'Payment Registry'!B13:B1013,"5")</f>
        <v>0</v>
      </c>
      <c r="X127" s="699">
        <f>SUMIFS('Payment Registry'!C13:C1013,'Payment Registry'!L13:L1013,"House - Maintenance: Other",'Payment Registry'!B13:B1013,"6")</f>
        <v>0</v>
      </c>
    </row>
    <row r="128" spans="1:24" x14ac:dyDescent="0.2">
      <c r="A128" s="275" t="s">
        <v>251</v>
      </c>
      <c r="B128" s="14">
        <f>IF('House-Kitchen Budget Worksheet'!A4="",0,IF('House-Kitchen Budget Worksheet'!A4="9 months",'House-Kitchen Budget Worksheet'!H24*5,IF('House-Kitchen Budget Worksheet'!A4="12 months",'House-Kitchen Budget Worksheet'!G24*6)))</f>
        <v>0</v>
      </c>
      <c r="C128" s="79">
        <f>IF('House-Kitchen Budget Worksheet'!A4="",0,IF('House-Kitchen Budget Worksheet'!A4="9 months",'House-Kitchen Budget Worksheet'!H24*4,IF('House-Kitchen Budget Worksheet'!A4="12 months",'House-Kitchen Budget Worksheet'!G24*6)))</f>
        <v>0</v>
      </c>
      <c r="D128" s="14">
        <f t="shared" si="79"/>
        <v>0</v>
      </c>
      <c r="F128" s="14">
        <f t="shared" si="80"/>
        <v>0</v>
      </c>
      <c r="G128" s="79">
        <f t="shared" si="81"/>
        <v>0</v>
      </c>
      <c r="H128" s="14">
        <f t="shared" si="82"/>
        <v>0</v>
      </c>
      <c r="J128" s="14">
        <f t="shared" si="83"/>
        <v>0</v>
      </c>
      <c r="K128" s="79">
        <f t="shared" si="84"/>
        <v>0</v>
      </c>
      <c r="L128" s="14">
        <f t="shared" si="85"/>
        <v>0</v>
      </c>
      <c r="M128" s="105">
        <f>SUMIFS('Payment Registry'!C13:C1013,'Payment Registry'!L13:L1013,"House - Electricity",'Payment Registry'!B13:B1013,"7")</f>
        <v>0</v>
      </c>
      <c r="N128" s="699">
        <f>SUMIFS('Payment Registry'!C13:C1013,'Payment Registry'!L13:L1013,"House - Electricity",'Payment Registry'!B13:B1013,"8")</f>
        <v>0</v>
      </c>
      <c r="O128" s="105">
        <f>SUMIFS('Payment Registry'!C13:C1013,'Payment Registry'!L13:L1013,"House - Electricity",'Payment Registry'!B13:B1013,"9")</f>
        <v>0</v>
      </c>
      <c r="P128" s="699">
        <f>SUMIFS('Payment Registry'!C13:C1013,'Payment Registry'!L13:L1013,"House - Electricity",'Payment Registry'!B13:B1013,"10")</f>
        <v>0</v>
      </c>
      <c r="Q128" s="105">
        <f>SUMIFS('Payment Registry'!C13:C1013,'Payment Registry'!L13:L1013,"House - Electricity",'Payment Registry'!B13:B1013,"11")</f>
        <v>0</v>
      </c>
      <c r="R128" s="699">
        <f>SUMIFS('Payment Registry'!C13:C1013,'Payment Registry'!L13:L1013,"House - Electricity",'Payment Registry'!B13:B1013,"12")</f>
        <v>0</v>
      </c>
      <c r="S128" s="105">
        <f>SUMIFS('Payment Registry'!C13:C1013,'Payment Registry'!L13:L1013,"House - Electricity",'Payment Registry'!B13:B1013,"1")</f>
        <v>0</v>
      </c>
      <c r="T128" s="699">
        <f>SUMIFS('Payment Registry'!C13:C1013,'Payment Registry'!L13:L1013,"House - Electricity",'Payment Registry'!B13:B1013,"2")</f>
        <v>0</v>
      </c>
      <c r="U128" s="105">
        <f>SUMIFS('Payment Registry'!C13:C1013,'Payment Registry'!L13:L1013,"House - Electricity",'Payment Registry'!B13:B1013,"3")</f>
        <v>0</v>
      </c>
      <c r="V128" s="699">
        <f>SUMIFS('Payment Registry'!C13:C1013,'Payment Registry'!L13:L1013,"House - Electricity",'Payment Registry'!B13:B1013,"4")</f>
        <v>0</v>
      </c>
      <c r="W128" s="105">
        <f>SUMIFS('Payment Registry'!C13:C1013,'Payment Registry'!L13:L1013,"House - Electricity",'Payment Registry'!B13:B1013,"5")</f>
        <v>0</v>
      </c>
      <c r="X128" s="699">
        <f>SUMIFS('Payment Registry'!C13:C1013,'Payment Registry'!L13:L1013,"House - Electricity",'Payment Registry'!B13:B1013,"6")</f>
        <v>0</v>
      </c>
    </row>
    <row r="129" spans="1:24" x14ac:dyDescent="0.2">
      <c r="A129" s="275" t="s">
        <v>252</v>
      </c>
      <c r="B129" s="14">
        <f>IF('House-Kitchen Budget Worksheet'!A4="",0,IF('House-Kitchen Budget Worksheet'!A4="9 months",'House-Kitchen Budget Worksheet'!H25*5,IF('House-Kitchen Budget Worksheet'!A4="12 months",'House-Kitchen Budget Worksheet'!G25*6)))</f>
        <v>0</v>
      </c>
      <c r="C129" s="79">
        <f>IF('House-Kitchen Budget Worksheet'!A4="",0,IF('House-Kitchen Budget Worksheet'!A4="9 months",'House-Kitchen Budget Worksheet'!H25*4,IF('House-Kitchen Budget Worksheet'!A4="12 months",'House-Kitchen Budget Worksheet'!G25*6)))</f>
        <v>0</v>
      </c>
      <c r="D129" s="14">
        <f t="shared" si="79"/>
        <v>0</v>
      </c>
      <c r="F129" s="14">
        <f t="shared" si="80"/>
        <v>0</v>
      </c>
      <c r="G129" s="79">
        <f t="shared" si="81"/>
        <v>0</v>
      </c>
      <c r="H129" s="14">
        <f t="shared" si="82"/>
        <v>0</v>
      </c>
      <c r="J129" s="14">
        <f t="shared" si="83"/>
        <v>0</v>
      </c>
      <c r="K129" s="79">
        <f t="shared" si="84"/>
        <v>0</v>
      </c>
      <c r="L129" s="14">
        <f t="shared" si="85"/>
        <v>0</v>
      </c>
      <c r="M129" s="105">
        <f>SUMIFS('Payment Registry'!C13:C1013,'Payment Registry'!L13:L1013,"House - Gas",'Payment Registry'!B13:B1013,"7")</f>
        <v>0</v>
      </c>
      <c r="N129" s="699">
        <f>SUMIFS('Payment Registry'!C13:C1013,'Payment Registry'!L13:L1013,"House - Gas",'Payment Registry'!B13:B1013,"8")</f>
        <v>0</v>
      </c>
      <c r="O129" s="105">
        <f>SUMIFS('Payment Registry'!C13:C1013,'Payment Registry'!L13:L1013,"House - Gas",'Payment Registry'!B13:B1013,"9")</f>
        <v>0</v>
      </c>
      <c r="P129" s="699">
        <f>SUMIFS('Payment Registry'!C13:C1013,'Payment Registry'!L13:L1013,"House - Gas",'Payment Registry'!B13:B1013,"10")</f>
        <v>0</v>
      </c>
      <c r="Q129" s="105">
        <f>SUMIFS('Payment Registry'!C13:C1013,'Payment Registry'!L13:L1013,"House - Gas",'Payment Registry'!B13:B1013,"11")</f>
        <v>0</v>
      </c>
      <c r="R129" s="699">
        <f>SUMIFS('Payment Registry'!C13:C1013,'Payment Registry'!L13:L1013,"House - Gas",'Payment Registry'!B13:B1013,"12")</f>
        <v>0</v>
      </c>
      <c r="S129" s="105">
        <f>SUMIFS('Payment Registry'!C13:C1013,'Payment Registry'!L13:L1013,"House - Gas",'Payment Registry'!B13:B1013,"1")</f>
        <v>0</v>
      </c>
      <c r="T129" s="699">
        <f>SUMIFS('Payment Registry'!C13:C1013,'Payment Registry'!L13:L1013,"House - Gas",'Payment Registry'!B13:B1013,"2")</f>
        <v>0</v>
      </c>
      <c r="U129" s="105">
        <f>SUMIFS('Payment Registry'!C13:C1013,'Payment Registry'!L13:L1013,"House - Gas",'Payment Registry'!B13:B1013,"3")</f>
        <v>0</v>
      </c>
      <c r="V129" s="699">
        <f>SUMIFS('Payment Registry'!C13:C1013,'Payment Registry'!L13:L1013,"House - Gas",'Payment Registry'!B13:B1013,"4")</f>
        <v>0</v>
      </c>
      <c r="W129" s="105">
        <f>SUMIFS('Payment Registry'!C13:C1013,'Payment Registry'!L13:L1013,"House - Gas",'Payment Registry'!B13:B1013,"5")</f>
        <v>0</v>
      </c>
      <c r="X129" s="699">
        <f>SUMIFS('Payment Registry'!C13:C1013,'Payment Registry'!L13:L1013,"House - Gas",'Payment Registry'!B13:B1013,"6")</f>
        <v>0</v>
      </c>
    </row>
    <row r="130" spans="1:24" x14ac:dyDescent="0.2">
      <c r="A130" s="275" t="s">
        <v>253</v>
      </c>
      <c r="B130" s="14">
        <f>IF('House-Kitchen Budget Worksheet'!A4="",0,IF('House-Kitchen Budget Worksheet'!A4="9 months",'House-Kitchen Budget Worksheet'!H26*5,IF('House-Kitchen Budget Worksheet'!A4="12 months",'House-Kitchen Budget Worksheet'!G26*6)))</f>
        <v>0</v>
      </c>
      <c r="C130" s="79">
        <f>IF('House-Kitchen Budget Worksheet'!A4="",0,IF('House-Kitchen Budget Worksheet'!A4="9 months",'House-Kitchen Budget Worksheet'!H26*4,IF('House-Kitchen Budget Worksheet'!A4="12 months",'House-Kitchen Budget Worksheet'!G26*6)))</f>
        <v>0</v>
      </c>
      <c r="D130" s="14">
        <f t="shared" si="79"/>
        <v>0</v>
      </c>
      <c r="F130" s="14">
        <f t="shared" si="80"/>
        <v>0</v>
      </c>
      <c r="G130" s="79">
        <f t="shared" si="81"/>
        <v>0</v>
      </c>
      <c r="H130" s="14">
        <f t="shared" si="82"/>
        <v>0</v>
      </c>
      <c r="J130" s="14">
        <f t="shared" si="83"/>
        <v>0</v>
      </c>
      <c r="K130" s="79">
        <f t="shared" si="84"/>
        <v>0</v>
      </c>
      <c r="L130" s="14">
        <f t="shared" si="85"/>
        <v>0</v>
      </c>
      <c r="M130" s="105">
        <f>SUMIFS('Payment Registry'!C13:C1013,'Payment Registry'!L13:L1013,"House - Water",'Payment Registry'!B13:B1013,"7")</f>
        <v>0</v>
      </c>
      <c r="N130" s="699">
        <f>SUMIFS('Payment Registry'!C13:C1013,'Payment Registry'!L13:L1013,"House - Water",'Payment Registry'!B13:B1013,"8")</f>
        <v>0</v>
      </c>
      <c r="O130" s="105">
        <f>SUMIFS('Payment Registry'!C13:C1013,'Payment Registry'!L13:L1013,"House - Water",'Payment Registry'!B13:B1013,"9")</f>
        <v>0</v>
      </c>
      <c r="P130" s="699">
        <f>SUMIFS('Payment Registry'!C13:C1013,'Payment Registry'!L13:L1013,"House - Water",'Payment Registry'!B13:B1013,"10")</f>
        <v>0</v>
      </c>
      <c r="Q130" s="105">
        <f>SUMIFS('Payment Registry'!C13:C1013,'Payment Registry'!L13:L1013,"House - Water",'Payment Registry'!B13:B1013,"11")</f>
        <v>0</v>
      </c>
      <c r="R130" s="699">
        <f>SUMIFS('Payment Registry'!C13:C1013,'Payment Registry'!L13:L1013,"House - Water",'Payment Registry'!B13:B1013,"12")</f>
        <v>0</v>
      </c>
      <c r="S130" s="105">
        <f>SUMIFS('Payment Registry'!C13:C1013,'Payment Registry'!L13:L1013,"House - Water",'Payment Registry'!B13:B1013,"1")</f>
        <v>0</v>
      </c>
      <c r="T130" s="699">
        <f>SUMIFS('Payment Registry'!C13:C1013,'Payment Registry'!L13:L1013,"House - Water",'Payment Registry'!B13:B1013,"2")</f>
        <v>0</v>
      </c>
      <c r="U130" s="105">
        <f>SUMIFS('Payment Registry'!C13:C1013,'Payment Registry'!L13:L1013,"House - Water",'Payment Registry'!B13:B1013,"3")</f>
        <v>0</v>
      </c>
      <c r="V130" s="699">
        <f>SUMIFS('Payment Registry'!C13:C1013,'Payment Registry'!L13:L1013,"House - Water",'Payment Registry'!B13:B1013,"4")</f>
        <v>0</v>
      </c>
      <c r="W130" s="105">
        <f>SUMIFS('Payment Registry'!C13:C1013,'Payment Registry'!L13:L1013,"House - Water",'Payment Registry'!B13:B1013,"5")</f>
        <v>0</v>
      </c>
      <c r="X130" s="699">
        <f>SUMIFS('Payment Registry'!C13:C1013,'Payment Registry'!L13:L1013,"House - Water",'Payment Registry'!B13:B1013,"6")</f>
        <v>0</v>
      </c>
    </row>
    <row r="131" spans="1:24" x14ac:dyDescent="0.2">
      <c r="A131" s="275" t="s">
        <v>277</v>
      </c>
      <c r="B131" s="14">
        <f>IF('House-Kitchen Budget Worksheet'!A4="",0,IF('House-Kitchen Budget Worksheet'!A4="9 months",'House-Kitchen Budget Worksheet'!H27*5,IF('House-Kitchen Budget Worksheet'!A4="12 months",'House-Kitchen Budget Worksheet'!G27*6)))</f>
        <v>0</v>
      </c>
      <c r="C131" s="79">
        <f>IF('House-Kitchen Budget Worksheet'!A4="",0,IF('House-Kitchen Budget Worksheet'!A4="9 months",'House-Kitchen Budget Worksheet'!H27*4,IF('House-Kitchen Budget Worksheet'!A4="12 months",'House-Kitchen Budget Worksheet'!G27*6)))</f>
        <v>0</v>
      </c>
      <c r="D131" s="14">
        <f t="shared" si="79"/>
        <v>0</v>
      </c>
      <c r="F131" s="14">
        <f t="shared" si="80"/>
        <v>0</v>
      </c>
      <c r="G131" s="79">
        <f t="shared" si="81"/>
        <v>0</v>
      </c>
      <c r="H131" s="14">
        <f t="shared" si="82"/>
        <v>0</v>
      </c>
      <c r="J131" s="14">
        <f t="shared" si="83"/>
        <v>0</v>
      </c>
      <c r="K131" s="79">
        <f t="shared" si="84"/>
        <v>0</v>
      </c>
      <c r="L131" s="14">
        <f t="shared" si="85"/>
        <v>0</v>
      </c>
      <c r="M131" s="105">
        <f>SUMIFS('Payment Registry'!C13:C1013,'Payment Registry'!L13:L1013,"House - Sewer",'Payment Registry'!B13:B1013,"7")</f>
        <v>0</v>
      </c>
      <c r="N131" s="699">
        <f>SUMIFS('Payment Registry'!C13:C1013,'Payment Registry'!L13:L1013,"House - Sewer",'Payment Registry'!B13:B1013,"8")</f>
        <v>0</v>
      </c>
      <c r="O131" s="105">
        <f>SUMIFS('Payment Registry'!C13:C1013,'Payment Registry'!L13:L1013,"House - Sewer",'Payment Registry'!B13:B1013,"9")</f>
        <v>0</v>
      </c>
      <c r="P131" s="699">
        <f>SUMIFS('Payment Registry'!C13:C1013,'Payment Registry'!L13:L1013,"House - Sewer",'Payment Registry'!B13:B1013,"10")</f>
        <v>0</v>
      </c>
      <c r="Q131" s="105">
        <f>SUMIFS('Payment Registry'!C13:C1013,'Payment Registry'!L13:L1013,"House - Sewer",'Payment Registry'!B13:B1013,"11")</f>
        <v>0</v>
      </c>
      <c r="R131" s="699">
        <f>SUMIFS('Payment Registry'!C13:C1013,'Payment Registry'!L13:L1013,"House - Sewer",'Payment Registry'!B13:B1013,"12")</f>
        <v>0</v>
      </c>
      <c r="S131" s="105">
        <f>SUMIFS('Payment Registry'!C13:C1013,'Payment Registry'!L13:L1013,"House - Sewer",'Payment Registry'!B13:B1013,"1")</f>
        <v>0</v>
      </c>
      <c r="T131" s="699">
        <f>SUMIFS('Payment Registry'!C13:C1013,'Payment Registry'!L13:L1013,"House - Sewer",'Payment Registry'!B13:B1013,"2")</f>
        <v>0</v>
      </c>
      <c r="U131" s="105">
        <f>SUMIFS('Payment Registry'!C13:C1013,'Payment Registry'!L13:L1013,"House - Sewer",'Payment Registry'!B13:B1013,"3")</f>
        <v>0</v>
      </c>
      <c r="V131" s="699">
        <f>SUMIFS('Payment Registry'!C13:C1013,'Payment Registry'!L13:L1013,"House - Sewer",'Payment Registry'!B13:B1013,"4")</f>
        <v>0</v>
      </c>
      <c r="W131" s="105">
        <f>SUMIFS('Payment Registry'!C13:C1013,'Payment Registry'!L13:L1013,"House - Sewer",'Payment Registry'!B13:B1013,"5")</f>
        <v>0</v>
      </c>
      <c r="X131" s="699">
        <f>SUMIFS('Payment Registry'!C13:C1013,'Payment Registry'!L13:L1013,"House - Sewer",'Payment Registry'!B13:B1013,"6")</f>
        <v>0</v>
      </c>
    </row>
    <row r="132" spans="1:24" x14ac:dyDescent="0.2">
      <c r="A132" s="275" t="s">
        <v>254</v>
      </c>
      <c r="B132" s="14">
        <f>IF('House-Kitchen Budget Worksheet'!A4="",0,IF('House-Kitchen Budget Worksheet'!A4="9 months",'House-Kitchen Budget Worksheet'!H28*5,IF('House-Kitchen Budget Worksheet'!A4="12 months",'House-Kitchen Budget Worksheet'!G28*6)))</f>
        <v>0</v>
      </c>
      <c r="C132" s="79">
        <f>IF('House-Kitchen Budget Worksheet'!A4="",0,IF('House-Kitchen Budget Worksheet'!A4="9 months",'House-Kitchen Budget Worksheet'!H28*4,IF('House-Kitchen Budget Worksheet'!A4="12 months",'House-Kitchen Budget Worksheet'!G28*6)))</f>
        <v>0</v>
      </c>
      <c r="D132" s="14">
        <f t="shared" si="79"/>
        <v>0</v>
      </c>
      <c r="F132" s="14">
        <f t="shared" si="80"/>
        <v>0</v>
      </c>
      <c r="G132" s="79">
        <f t="shared" si="81"/>
        <v>0</v>
      </c>
      <c r="H132" s="14">
        <f t="shared" si="82"/>
        <v>0</v>
      </c>
      <c r="J132" s="14">
        <f t="shared" si="83"/>
        <v>0</v>
      </c>
      <c r="K132" s="79">
        <f t="shared" si="84"/>
        <v>0</v>
      </c>
      <c r="L132" s="14">
        <f t="shared" si="85"/>
        <v>0</v>
      </c>
      <c r="M132" s="105">
        <f>SUMIFS('Payment Registry'!C13:C1013,'Payment Registry'!L13:L1013,"House - Garbage",'Payment Registry'!B13:B1013,"7")</f>
        <v>0</v>
      </c>
      <c r="N132" s="699">
        <f>SUMIFS('Payment Registry'!C13:C1013,'Payment Registry'!L13:L1013,"House - Garbage",'Payment Registry'!B13:B1013,"8")</f>
        <v>0</v>
      </c>
      <c r="O132" s="105">
        <f>SUMIFS('Payment Registry'!C13:C1013,'Payment Registry'!L13:L1013,"House - Garbage",'Payment Registry'!B13:B1013,"9")</f>
        <v>0</v>
      </c>
      <c r="P132" s="699">
        <f>SUMIFS('Payment Registry'!C13:C1013,'Payment Registry'!L13:L1013,"House - Garbage",'Payment Registry'!B13:B1013,"10")</f>
        <v>0</v>
      </c>
      <c r="Q132" s="105">
        <f>SUMIFS('Payment Registry'!C13:C1013,'Payment Registry'!L13:L1013,"House - Garbage",'Payment Registry'!B13:B1013,"11")</f>
        <v>0</v>
      </c>
      <c r="R132" s="699">
        <f>SUMIFS('Payment Registry'!C13:C1013,'Payment Registry'!L13:L1013,"House - Garbage",'Payment Registry'!B13:B1013,"12")</f>
        <v>0</v>
      </c>
      <c r="S132" s="105">
        <f>SUMIFS('Payment Registry'!C13:C1013,'Payment Registry'!L13:L1013,"House - Garbage",'Payment Registry'!B13:B1013,"1")</f>
        <v>0</v>
      </c>
      <c r="T132" s="699">
        <f>SUMIFS('Payment Registry'!C13:C1013,'Payment Registry'!L13:L1013,"House - Garbage",'Payment Registry'!B13:B1013,"2")</f>
        <v>0</v>
      </c>
      <c r="U132" s="105">
        <f>SUMIFS('Payment Registry'!C13:C1013,'Payment Registry'!L13:L1013,"House - Garbage",'Payment Registry'!B13:B1013,"3")</f>
        <v>0</v>
      </c>
      <c r="V132" s="699">
        <f>SUMIFS('Payment Registry'!C13:C1013,'Payment Registry'!L13:L1013,"House - Garbage",'Payment Registry'!B13:B1013,"4")</f>
        <v>0</v>
      </c>
      <c r="W132" s="105">
        <f>SUMIFS('Payment Registry'!C13:C1013,'Payment Registry'!L13:L1013,"House - Garbage",'Payment Registry'!B13:B1013,"5")</f>
        <v>0</v>
      </c>
      <c r="X132" s="699">
        <f>SUMIFS('Payment Registry'!C13:C1013,'Payment Registry'!L13:L1013,"House - Garbage",'Payment Registry'!B13:B1013,"6")</f>
        <v>0</v>
      </c>
    </row>
    <row r="133" spans="1:24" x14ac:dyDescent="0.2">
      <c r="A133" s="275" t="s">
        <v>255</v>
      </c>
      <c r="B133" s="14">
        <f>IF('House-Kitchen Budget Worksheet'!A4="",0,IF('House-Kitchen Budget Worksheet'!A4="9 months",'House-Kitchen Budget Worksheet'!H29*5,IF('House-Kitchen Budget Worksheet'!A4="12 months",'House-Kitchen Budget Worksheet'!G29*6)))</f>
        <v>0</v>
      </c>
      <c r="C133" s="79">
        <f>IF('House-Kitchen Budget Worksheet'!A4="",0,IF('House-Kitchen Budget Worksheet'!A4="9 months",'House-Kitchen Budget Worksheet'!H29*4,IF('House-Kitchen Budget Worksheet'!A4="12 months",'House-Kitchen Budget Worksheet'!G29*6)))</f>
        <v>0</v>
      </c>
      <c r="D133" s="14">
        <f t="shared" si="79"/>
        <v>0</v>
      </c>
      <c r="F133" s="14">
        <f t="shared" si="80"/>
        <v>0</v>
      </c>
      <c r="G133" s="79">
        <f t="shared" si="81"/>
        <v>0</v>
      </c>
      <c r="H133" s="14">
        <f t="shared" si="82"/>
        <v>0</v>
      </c>
      <c r="J133" s="14">
        <f t="shared" si="83"/>
        <v>0</v>
      </c>
      <c r="K133" s="79">
        <f t="shared" si="84"/>
        <v>0</v>
      </c>
      <c r="L133" s="14">
        <f t="shared" si="85"/>
        <v>0</v>
      </c>
      <c r="M133" s="105">
        <f>SUMIFS('Payment Registry'!C13:C1013,'Payment Registry'!L13:L1013,"House - Cable/Satellite",'Payment Registry'!B13:B1013,"7")</f>
        <v>0</v>
      </c>
      <c r="N133" s="699">
        <f>SUMIFS('Payment Registry'!C13:C1013,'Payment Registry'!L13:L1013,"House - Cable/Satellite",'Payment Registry'!B13:B1013,"8")</f>
        <v>0</v>
      </c>
      <c r="O133" s="105">
        <f>SUMIFS('Payment Registry'!C13:C1013,'Payment Registry'!L13:L1013,"House - Cable/Satellite",'Payment Registry'!B13:B1013,"9")</f>
        <v>0</v>
      </c>
      <c r="P133" s="699">
        <f>SUMIFS('Payment Registry'!C13:C1013,'Payment Registry'!L13:L1013,"House - Cable/Satellite",'Payment Registry'!B13:B1013,"10")</f>
        <v>0</v>
      </c>
      <c r="Q133" s="105">
        <f>SUMIFS('Payment Registry'!C13:C1013,'Payment Registry'!L13:L1013,"House - Cable/Satellite",'Payment Registry'!B13:B1013,"11")</f>
        <v>0</v>
      </c>
      <c r="R133" s="699">
        <f>SUMIFS('Payment Registry'!C13:C1013,'Payment Registry'!L13:L1013,"House - Cable/Satellite",'Payment Registry'!B13:B1013,"12")</f>
        <v>0</v>
      </c>
      <c r="S133" s="105">
        <f>SUMIFS('Payment Registry'!C13:C1013,'Payment Registry'!L13:L1013,"House - Cable/Satellite",'Payment Registry'!B13:B1013,"1")</f>
        <v>0</v>
      </c>
      <c r="T133" s="699">
        <f>SUMIFS('Payment Registry'!C13:C1013,'Payment Registry'!L13:L1013,"House - Cable/Satellite",'Payment Registry'!B13:B1013,"2")</f>
        <v>0</v>
      </c>
      <c r="U133" s="105">
        <f>SUMIFS('Payment Registry'!C13:C1013,'Payment Registry'!L13:L1013,"House - Cable/Satellite",'Payment Registry'!B13:B1013,"3")</f>
        <v>0</v>
      </c>
      <c r="V133" s="699">
        <f>SUMIFS('Payment Registry'!C13:C1013,'Payment Registry'!L13:L1013,"House - Cable/Satellite",'Payment Registry'!B13:B1013,"4")</f>
        <v>0</v>
      </c>
      <c r="W133" s="105">
        <f>SUMIFS('Payment Registry'!C13:C1013,'Payment Registry'!L13:L1013,"House - Cable/Satellite",'Payment Registry'!B13:B1013,"5")</f>
        <v>0</v>
      </c>
      <c r="X133" s="699">
        <f>SUMIFS('Payment Registry'!C13:C1013,'Payment Registry'!L13:L1013,"House - Cable/Satellite",'Payment Registry'!B13:B1013,"6")</f>
        <v>0</v>
      </c>
    </row>
    <row r="134" spans="1:24" x14ac:dyDescent="0.2">
      <c r="A134" s="275" t="s">
        <v>256</v>
      </c>
      <c r="B134" s="14">
        <f>IF('House-Kitchen Budget Worksheet'!A4="",0,IF('House-Kitchen Budget Worksheet'!A4="9 months",'House-Kitchen Budget Worksheet'!H30*5,IF('House-Kitchen Budget Worksheet'!A4="12 months",'House-Kitchen Budget Worksheet'!G30*6)))</f>
        <v>0</v>
      </c>
      <c r="C134" s="79">
        <f>IF('House-Kitchen Budget Worksheet'!A4="",0,IF('House-Kitchen Budget Worksheet'!A4="9 months",'House-Kitchen Budget Worksheet'!H30*4,IF('House-Kitchen Budget Worksheet'!A4="12 months",'House-Kitchen Budget Worksheet'!G30*6)))</f>
        <v>0</v>
      </c>
      <c r="D134" s="14">
        <f t="shared" si="79"/>
        <v>0</v>
      </c>
      <c r="F134" s="14">
        <f t="shared" si="80"/>
        <v>0</v>
      </c>
      <c r="G134" s="79">
        <f t="shared" si="81"/>
        <v>0</v>
      </c>
      <c r="H134" s="14">
        <f t="shared" si="82"/>
        <v>0</v>
      </c>
      <c r="J134" s="14">
        <f t="shared" si="83"/>
        <v>0</v>
      </c>
      <c r="K134" s="79">
        <f t="shared" si="84"/>
        <v>0</v>
      </c>
      <c r="L134" s="14">
        <f t="shared" si="85"/>
        <v>0</v>
      </c>
      <c r="M134" s="105">
        <f>SUMIFS('Payment Registry'!C13:C1013,'Payment Registry'!L13:L1013,"House - Internet",'Payment Registry'!B13:B1013,"7")</f>
        <v>0</v>
      </c>
      <c r="N134" s="699">
        <f>SUMIFS('Payment Registry'!C13:C1013,'Payment Registry'!L13:L1013,"House - Internet",'Payment Registry'!B13:B1013,"8")</f>
        <v>0</v>
      </c>
      <c r="O134" s="105">
        <f>SUMIFS('Payment Registry'!C13:C1013,'Payment Registry'!L13:L1013,"House - Internet",'Payment Registry'!B13:B1013,"9")</f>
        <v>0</v>
      </c>
      <c r="P134" s="699">
        <f>SUMIFS('Payment Registry'!C13:C1013,'Payment Registry'!L13:L1013,"House - Internet",'Payment Registry'!B13:B1013,"10")</f>
        <v>0</v>
      </c>
      <c r="Q134" s="105">
        <f>SUMIFS('Payment Registry'!C13:C1013,'Payment Registry'!L13:L1013,"House - Internet",'Payment Registry'!B13:B1013,"11")</f>
        <v>0</v>
      </c>
      <c r="R134" s="699">
        <f>SUMIFS('Payment Registry'!C13:C1013,'Payment Registry'!L13:L1013,"House - Internet",'Payment Registry'!B13:B1013,"12")</f>
        <v>0</v>
      </c>
      <c r="S134" s="105">
        <f>SUMIFS('Payment Registry'!C13:C1013,'Payment Registry'!L13:L1013,"House - Internet",'Payment Registry'!B13:B1013,"1")</f>
        <v>0</v>
      </c>
      <c r="T134" s="699">
        <f>SUMIFS('Payment Registry'!C13:C1013,'Payment Registry'!L13:L1013,"House - Internet",'Payment Registry'!B13:B1013,"2")</f>
        <v>0</v>
      </c>
      <c r="U134" s="105">
        <f>SUMIFS('Payment Registry'!C13:C1013,'Payment Registry'!L13:L1013,"House - Internet",'Payment Registry'!B13:B1013,"3")</f>
        <v>0</v>
      </c>
      <c r="V134" s="699">
        <f>SUMIFS('Payment Registry'!C13:C1013,'Payment Registry'!L13:L1013,"House - Internet",'Payment Registry'!B13:B1013,"4")</f>
        <v>0</v>
      </c>
      <c r="W134" s="105">
        <f>SUMIFS('Payment Registry'!C13:C1013,'Payment Registry'!L13:L1013,"House - Internet",'Payment Registry'!B13:B1013,"5")</f>
        <v>0</v>
      </c>
      <c r="X134" s="699">
        <f>SUMIFS('Payment Registry'!C13:C1013,'Payment Registry'!L13:L1013,"House - Internet",'Payment Registry'!B13:B1013,"6")</f>
        <v>0</v>
      </c>
    </row>
    <row r="135" spans="1:24" x14ac:dyDescent="0.2">
      <c r="A135" s="275" t="s">
        <v>257</v>
      </c>
      <c r="B135" s="14">
        <f>IF('House-Kitchen Budget Worksheet'!A4="",0,IF('House-Kitchen Budget Worksheet'!A4="9 months",'House-Kitchen Budget Worksheet'!H31*5,IF('House-Kitchen Budget Worksheet'!A4="12 months",'House-Kitchen Budget Worksheet'!G31*6)))</f>
        <v>0</v>
      </c>
      <c r="C135" s="79">
        <f>IF('House-Kitchen Budget Worksheet'!A4="",0,IF('House-Kitchen Budget Worksheet'!A4="9 months",'House-Kitchen Budget Worksheet'!H31*4,IF('House-Kitchen Budget Worksheet'!A4="12 months",'House-Kitchen Budget Worksheet'!G31*6)))</f>
        <v>0</v>
      </c>
      <c r="D135" s="14">
        <f t="shared" si="79"/>
        <v>0</v>
      </c>
      <c r="F135" s="14">
        <f t="shared" si="80"/>
        <v>0</v>
      </c>
      <c r="G135" s="79">
        <f t="shared" si="81"/>
        <v>0</v>
      </c>
      <c r="H135" s="14">
        <f t="shared" si="82"/>
        <v>0</v>
      </c>
      <c r="J135" s="14">
        <f t="shared" si="83"/>
        <v>0</v>
      </c>
      <c r="K135" s="79">
        <f t="shared" si="84"/>
        <v>0</v>
      </c>
      <c r="L135" s="14">
        <f t="shared" si="85"/>
        <v>0</v>
      </c>
      <c r="M135" s="105">
        <f>SUMIFS('Payment Registry'!C13:C1013,'Payment Registry'!L13:L1013,"House - Telephone",'Payment Registry'!B13:B1013,"7")</f>
        <v>0</v>
      </c>
      <c r="N135" s="699">
        <f>SUMIFS('Payment Registry'!C13:C1013,'Payment Registry'!L13:L1013,"House - Telephone",'Payment Registry'!B13:B1013,"8")</f>
        <v>0</v>
      </c>
      <c r="O135" s="105">
        <f>SUMIFS('Payment Registry'!C13:C1013,'Payment Registry'!L13:L1013,"House - Telephone",'Payment Registry'!B13:B1013,"9")</f>
        <v>0</v>
      </c>
      <c r="P135" s="699">
        <f>SUMIFS('Payment Registry'!C13:C1013,'Payment Registry'!L13:L1013,"House - Telephone",'Payment Registry'!B13:B1013,"10")</f>
        <v>0</v>
      </c>
      <c r="Q135" s="105">
        <f>SUMIFS('Payment Registry'!C13:C1013,'Payment Registry'!L13:L1013,"House - Telephone",'Payment Registry'!B13:B1013,"11")</f>
        <v>0</v>
      </c>
      <c r="R135" s="699">
        <f>SUMIFS('Payment Registry'!C13:C1013,'Payment Registry'!L13:L1013,"House - Telephone",'Payment Registry'!B13:B1013,"12")</f>
        <v>0</v>
      </c>
      <c r="S135" s="105">
        <f>SUMIFS('Payment Registry'!C13:C1013,'Payment Registry'!L13:L1013,"House - Telephone",'Payment Registry'!B13:B1013,"1")</f>
        <v>0</v>
      </c>
      <c r="T135" s="699">
        <f>SUMIFS('Payment Registry'!C13:C1013,'Payment Registry'!L13:L1013,"House - Telephone",'Payment Registry'!B13:B1013,"2")</f>
        <v>0</v>
      </c>
      <c r="U135" s="105">
        <f>SUMIFS('Payment Registry'!C13:C1013,'Payment Registry'!L13:L1013,"House - Telephone",'Payment Registry'!B13:B1013,"3")</f>
        <v>0</v>
      </c>
      <c r="V135" s="699">
        <f>SUMIFS('Payment Registry'!C13:C1013,'Payment Registry'!L13:L1013,"House - Telephone",'Payment Registry'!B13:B1013,"4")</f>
        <v>0</v>
      </c>
      <c r="W135" s="105">
        <f>SUMIFS('Payment Registry'!C13:C1013,'Payment Registry'!L13:L1013,"House - Telephone",'Payment Registry'!B13:B1013,"5")</f>
        <v>0</v>
      </c>
      <c r="X135" s="699">
        <f>SUMIFS('Payment Registry'!C13:C1013,'Payment Registry'!L13:L1013,"House - Telephone",'Payment Registry'!B13:B1013,"6")</f>
        <v>0</v>
      </c>
    </row>
    <row r="136" spans="1:24" x14ac:dyDescent="0.2">
      <c r="A136" s="275" t="s">
        <v>261</v>
      </c>
      <c r="B136" s="14">
        <f>IF('House-Kitchen Budget Worksheet'!A4="",0,IF('House-Kitchen Budget Worksheet'!A4="9 months",'House-Kitchen Budget Worksheet'!H32*5,IF('House-Kitchen Budget Worksheet'!A4="12 months",'House-Kitchen Budget Worksheet'!G32*6)))</f>
        <v>0</v>
      </c>
      <c r="C136" s="79">
        <f>IF('House-Kitchen Budget Worksheet'!A4="",0,IF('House-Kitchen Budget Worksheet'!A4="9 months",'House-Kitchen Budget Worksheet'!H32*4,IF('House-Kitchen Budget Worksheet'!A4="12 months",'House-Kitchen Budget Worksheet'!G32*6)))</f>
        <v>0</v>
      </c>
      <c r="D136" s="14">
        <f t="shared" si="79"/>
        <v>0</v>
      </c>
      <c r="F136" s="14">
        <f t="shared" si="80"/>
        <v>0</v>
      </c>
      <c r="G136" s="79">
        <f t="shared" si="81"/>
        <v>0</v>
      </c>
      <c r="H136" s="14">
        <f t="shared" si="82"/>
        <v>0</v>
      </c>
      <c r="J136" s="14">
        <f t="shared" si="83"/>
        <v>0</v>
      </c>
      <c r="K136" s="79">
        <f t="shared" si="84"/>
        <v>0</v>
      </c>
      <c r="L136" s="14">
        <f t="shared" si="85"/>
        <v>0</v>
      </c>
      <c r="M136" s="105">
        <f>SUMIFS('Payment Registry'!C13:C1013,'Payment Registry'!L13:L1013,"House - Real Estate Taxes",'Payment Registry'!B13:B1013,"7")</f>
        <v>0</v>
      </c>
      <c r="N136" s="699">
        <f>SUMIFS('Payment Registry'!C13:C1013,'Payment Registry'!L13:L1013,"House - Real Estate Taxes",'Payment Registry'!B13:B1013,"8")</f>
        <v>0</v>
      </c>
      <c r="O136" s="105">
        <f>SUMIFS('Payment Registry'!C13:C1013,'Payment Registry'!L13:L1013,"House - Real Estate Taxes",'Payment Registry'!B13:B1013,"9")</f>
        <v>0</v>
      </c>
      <c r="P136" s="699">
        <f>SUMIFS('Payment Registry'!C13:C1013,'Payment Registry'!L13:L1013,"House - Real Estate Taxes",'Payment Registry'!B13:B1013,"10")</f>
        <v>0</v>
      </c>
      <c r="Q136" s="105">
        <f>SUMIFS('Payment Registry'!C13:C1013,'Payment Registry'!L13:L1013,"House - Real Estate Taxes",'Payment Registry'!B13:B1013,"11")</f>
        <v>0</v>
      </c>
      <c r="R136" s="699">
        <f>SUMIFS('Payment Registry'!C13:C1013,'Payment Registry'!L13:L1013,"House - Real Estate Taxes",'Payment Registry'!B13:B1013,"12")</f>
        <v>0</v>
      </c>
      <c r="S136" s="105">
        <f>SUMIFS('Payment Registry'!C13:C1013,'Payment Registry'!L13:L1013,"House - Real Estate Taxes",'Payment Registry'!B13:B1013,"1")</f>
        <v>0</v>
      </c>
      <c r="T136" s="699">
        <f>SUMIFS('Payment Registry'!C13:C1013,'Payment Registry'!L13:L1013,"House - Real Estate Taxes",'Payment Registry'!B13:B1013,"2")</f>
        <v>0</v>
      </c>
      <c r="U136" s="105">
        <f>SUMIFS('Payment Registry'!C13:C1013,'Payment Registry'!L13:L1013,"House - Real Estate Taxes",'Payment Registry'!B13:B1013,"3")</f>
        <v>0</v>
      </c>
      <c r="V136" s="699">
        <f>SUMIFS('Payment Registry'!C13:C1013,'Payment Registry'!L13:L1013,"House - Real Estate Taxes",'Payment Registry'!B13:B1013,"4")</f>
        <v>0</v>
      </c>
      <c r="W136" s="105">
        <f>SUMIFS('Payment Registry'!C13:C1013,'Payment Registry'!L13:L1013,"House - Real Estate Taxes",'Payment Registry'!B13:B1013,"5")</f>
        <v>0</v>
      </c>
      <c r="X136" s="699">
        <f>SUMIFS('Payment Registry'!C13:C1013,'Payment Registry'!L13:L1013,"House - Real Estate Taxes",'Payment Registry'!B13:B1013,"6")</f>
        <v>0</v>
      </c>
    </row>
    <row r="137" spans="1:24" x14ac:dyDescent="0.2">
      <c r="A137" s="275" t="s">
        <v>262</v>
      </c>
      <c r="B137" s="14">
        <f>IF('House-Kitchen Budget Worksheet'!A4="",0,IF('House-Kitchen Budget Worksheet'!A4="9 months",'House-Kitchen Budget Worksheet'!H33*5,IF('House-Kitchen Budget Worksheet'!A4="12 months",'House-Kitchen Budget Worksheet'!G33*6)))</f>
        <v>0</v>
      </c>
      <c r="C137" s="79">
        <f>IF('House-Kitchen Budget Worksheet'!A4="",0,IF('House-Kitchen Budget Worksheet'!A4="9 months",'House-Kitchen Budget Worksheet'!H33*4,IF('House-Kitchen Budget Worksheet'!A4="12 months",'House-Kitchen Budget Worksheet'!G33*6)))</f>
        <v>0</v>
      </c>
      <c r="D137" s="14">
        <f t="shared" si="79"/>
        <v>0</v>
      </c>
      <c r="F137" s="14">
        <f t="shared" si="80"/>
        <v>0</v>
      </c>
      <c r="G137" s="79">
        <f t="shared" si="81"/>
        <v>0</v>
      </c>
      <c r="H137" s="14">
        <f t="shared" si="82"/>
        <v>0</v>
      </c>
      <c r="J137" s="14">
        <f t="shared" si="83"/>
        <v>0</v>
      </c>
      <c r="K137" s="79">
        <f t="shared" si="84"/>
        <v>0</v>
      </c>
      <c r="L137" s="14">
        <f t="shared" si="85"/>
        <v>0</v>
      </c>
      <c r="M137" s="105">
        <f>SUMIFS('Payment Registry'!C13:C1013,'Payment Registry'!L13:L1013,"House - Alarm (i.e. Fire, Theft, etc.)",'Payment Registry'!B13:B1013,"7")</f>
        <v>0</v>
      </c>
      <c r="N137" s="699">
        <f>SUMIFS('Payment Registry'!C13:C1013,'Payment Registry'!L13:L1013,"House - Alarm (i.e. Fire, Theft, etc.)",'Payment Registry'!B13:B1013,"8")</f>
        <v>0</v>
      </c>
      <c r="O137" s="105">
        <f>SUMIFS('Payment Registry'!C13:C1013,'Payment Registry'!L13:L1013,"House - Alarm (i.e. Fire, Theft, etc.)",'Payment Registry'!B13:B1013,"9")</f>
        <v>0</v>
      </c>
      <c r="P137" s="699">
        <f>SUMIFS('Payment Registry'!C13:C1013,'Payment Registry'!L13:L1013,"House - Alarm (i.e. Fire, Theft, etc.)",'Payment Registry'!B13:B1013,"10")</f>
        <v>0</v>
      </c>
      <c r="Q137" s="105">
        <f>SUMIFS('Payment Registry'!C13:C1013,'Payment Registry'!L13:L1013,"House - Alarm (i.e. Fire, Theft, etc.)",'Payment Registry'!B13:B1013,"11")</f>
        <v>0</v>
      </c>
      <c r="R137" s="699">
        <f>SUMIFS('Payment Registry'!C13:C1013,'Payment Registry'!L13:L1013,"House - Alarm (i.e. Fire, Theft, etc.)",'Payment Registry'!B13:B1013,"12")</f>
        <v>0</v>
      </c>
      <c r="S137" s="105">
        <f>SUMIFS('Payment Registry'!C13:C1013,'Payment Registry'!L13:L1013,"House - Alarm (i.e. Fire, Theft, etc.)",'Payment Registry'!B13:B1013,"1")</f>
        <v>0</v>
      </c>
      <c r="T137" s="699">
        <f>SUMIFS('Payment Registry'!C13:C1013,'Payment Registry'!L13:L1013,"House - Alarm (i.e. Fire, Theft, etc.)",'Payment Registry'!B13:B1013,"2")</f>
        <v>0</v>
      </c>
      <c r="U137" s="105">
        <f>SUMIFS('Payment Registry'!C13:C1013,'Payment Registry'!L13:L1013,"House - Alarm (i.e. Fire, Theft, etc.)",'Payment Registry'!B13:B1013,"3")</f>
        <v>0</v>
      </c>
      <c r="V137" s="699">
        <f>SUMIFS('Payment Registry'!C13:C1013,'Payment Registry'!L13:L1013,"House - Alarm (i.e. Fire, Theft, etc.)",'Payment Registry'!B13:B1013,"4")</f>
        <v>0</v>
      </c>
      <c r="W137" s="105">
        <f>SUMIFS('Payment Registry'!C13:C1013,'Payment Registry'!L13:L1013,"House - Alarm (i.e. Fire, Theft, etc.)",'Payment Registry'!B13:B1013,"5")</f>
        <v>0</v>
      </c>
      <c r="X137" s="699">
        <f>SUMIFS('Payment Registry'!C13:C1013,'Payment Registry'!L13:L1013,"House - Alarm (i.e. Fire, Theft, etc.)",'Payment Registry'!B13:B1013,"6")</f>
        <v>0</v>
      </c>
    </row>
    <row r="138" spans="1:24" x14ac:dyDescent="0.2">
      <c r="A138" s="275" t="s">
        <v>258</v>
      </c>
      <c r="B138" s="14">
        <f>IF('House-Kitchen Budget Worksheet'!A4="",0,IF('House-Kitchen Budget Worksheet'!A4="9 months",'House-Kitchen Budget Worksheet'!H34*5,IF('House-Kitchen Budget Worksheet'!A4="12 months",'House-Kitchen Budget Worksheet'!G34*6)))</f>
        <v>0</v>
      </c>
      <c r="C138" s="79">
        <f>IF('House-Kitchen Budget Worksheet'!A4="",0,IF('House-Kitchen Budget Worksheet'!A4="9 months",'House-Kitchen Budget Worksheet'!H34*4,IF('House-Kitchen Budget Worksheet'!A4="12 months",'House-Kitchen Budget Worksheet'!G34*6)))</f>
        <v>0</v>
      </c>
      <c r="D138" s="14">
        <f t="shared" si="79"/>
        <v>0</v>
      </c>
      <c r="F138" s="14">
        <f t="shared" si="80"/>
        <v>0</v>
      </c>
      <c r="G138" s="79">
        <f t="shared" si="81"/>
        <v>0</v>
      </c>
      <c r="H138" s="14">
        <f t="shared" si="82"/>
        <v>0</v>
      </c>
      <c r="J138" s="14">
        <f t="shared" si="83"/>
        <v>0</v>
      </c>
      <c r="K138" s="79">
        <f t="shared" si="84"/>
        <v>0</v>
      </c>
      <c r="L138" s="14">
        <f t="shared" si="85"/>
        <v>0</v>
      </c>
      <c r="M138" s="105">
        <f>SUMIFS('Payment Registry'!C13:C1013,'Payment Registry'!L13:L1013,"House - Payroll - House Mother/Resident Advisor",'Payment Registry'!B13:B1013,"7")</f>
        <v>0</v>
      </c>
      <c r="N138" s="699">
        <f>SUMIFS('Payment Registry'!C13:C1013,'Payment Registry'!L13:L1013,"House - Payroll - House Mother/Resident Advisor",'Payment Registry'!B13:B1013,"8")</f>
        <v>0</v>
      </c>
      <c r="O138" s="105">
        <f>SUMIFS('Payment Registry'!C13:C1013,'Payment Registry'!L13:L1013,"House - Payroll - House Mother/Resident Advisor",'Payment Registry'!B13:B1013,"9")</f>
        <v>0</v>
      </c>
      <c r="P138" s="699">
        <f>SUMIFS('Payment Registry'!C13:C1013,'Payment Registry'!L13:L1013,"House - Payroll - House Mother/Resident Advisor",'Payment Registry'!B13:B1013,"10")</f>
        <v>0</v>
      </c>
      <c r="Q138" s="105">
        <f>SUMIFS('Payment Registry'!C13:C1013,'Payment Registry'!L13:L1013,"House - Payroll - House Mother/Resident Advisor",'Payment Registry'!B13:B1013,"11")</f>
        <v>0</v>
      </c>
      <c r="R138" s="699">
        <f>SUMIFS('Payment Registry'!C13:C1013,'Payment Registry'!L13:L1013,"House - Payroll - House Mother/Resident Advisor",'Payment Registry'!B13:B1013,"12")</f>
        <v>0</v>
      </c>
      <c r="S138" s="105">
        <f>SUMIFS('Payment Registry'!C13:C1013,'Payment Registry'!L13:L1013,"House - Payroll - House Mother/Resident Advisor",'Payment Registry'!B13:B1013,"1")</f>
        <v>0</v>
      </c>
      <c r="T138" s="699">
        <f>SUMIFS('Payment Registry'!C13:C1013,'Payment Registry'!L13:L1013,"House - Payroll - House Mother/Resident Advisor",'Payment Registry'!B13:B1013,"2")</f>
        <v>0</v>
      </c>
      <c r="U138" s="105">
        <f>SUMIFS('Payment Registry'!C13:C1013,'Payment Registry'!L13:L1013,"House - Payroll - House Mother/Resident Advisor",'Payment Registry'!B13:B1013,"3")</f>
        <v>0</v>
      </c>
      <c r="V138" s="699">
        <f>SUMIFS('Payment Registry'!C13:C1013,'Payment Registry'!L13:L1013,"House - Payroll - House Mother/Resident Advisor",'Payment Registry'!B13:B1013,"4")</f>
        <v>0</v>
      </c>
      <c r="W138" s="105">
        <f>SUMIFS('Payment Registry'!C13:C1013,'Payment Registry'!L13:L1013,"House - Payroll - House Mother/Resident Advisor",'Payment Registry'!B13:B1013,"5")</f>
        <v>0</v>
      </c>
      <c r="X138" s="699">
        <f>SUMIFS('Payment Registry'!C13:C1013,'Payment Registry'!L13:L1013,"House - Payroll - House Mother/Resident Advisor",'Payment Registry'!B13:B1013,"6")</f>
        <v>0</v>
      </c>
    </row>
    <row r="139" spans="1:24" x14ac:dyDescent="0.2">
      <c r="A139" s="275" t="s">
        <v>259</v>
      </c>
      <c r="B139" s="14">
        <f>IF('House-Kitchen Budget Worksheet'!A4="",0,IF('House-Kitchen Budget Worksheet'!A4="9 months",'House-Kitchen Budget Worksheet'!H35*5,IF('House-Kitchen Budget Worksheet'!A4="12 months",'House-Kitchen Budget Worksheet'!G35*6)))</f>
        <v>0</v>
      </c>
      <c r="C139" s="79">
        <f>IF('House-Kitchen Budget Worksheet'!A4="",0,IF('House-Kitchen Budget Worksheet'!A4="9 months",'House-Kitchen Budget Worksheet'!H35*4,IF('House-Kitchen Budget Worksheet'!A4="12 months",'House-Kitchen Budget Worksheet'!G35*6)))</f>
        <v>0</v>
      </c>
      <c r="D139" s="14">
        <f t="shared" si="79"/>
        <v>0</v>
      </c>
      <c r="F139" s="14">
        <f t="shared" si="80"/>
        <v>0</v>
      </c>
      <c r="G139" s="79">
        <f t="shared" si="81"/>
        <v>0</v>
      </c>
      <c r="H139" s="14">
        <f t="shared" si="82"/>
        <v>0</v>
      </c>
      <c r="J139" s="14">
        <f t="shared" si="83"/>
        <v>0</v>
      </c>
      <c r="K139" s="79">
        <f t="shared" si="84"/>
        <v>0</v>
      </c>
      <c r="L139" s="14">
        <f t="shared" si="85"/>
        <v>0</v>
      </c>
      <c r="M139" s="105">
        <f>SUMIFS('Payment Registry'!C13:C1013,'Payment Registry'!L13:L1013,"House - Payroll - Taxes",'Payment Registry'!B13:B1013,"7")</f>
        <v>0</v>
      </c>
      <c r="N139" s="699">
        <f>SUMIFS('Payment Registry'!C13:C1013,'Payment Registry'!L13:L1013,"House - Payroll - Taxes",'Payment Registry'!B13:B1013,"8")</f>
        <v>0</v>
      </c>
      <c r="O139" s="105">
        <f>SUMIFS('Payment Registry'!C13:C1013,'Payment Registry'!L13:L1013,"House - Payroll - Taxes",'Payment Registry'!B13:B1013,"9")</f>
        <v>0</v>
      </c>
      <c r="P139" s="699">
        <f>SUMIFS('Payment Registry'!C13:C1013,'Payment Registry'!L13:L1013,"House - Payroll - Taxes",'Payment Registry'!B13:B1013,"10")</f>
        <v>0</v>
      </c>
      <c r="Q139" s="105">
        <f>SUMIFS('Payment Registry'!C13:C1013,'Payment Registry'!L13:L1013,"House - Payroll - Taxes",'Payment Registry'!B13:B1013,"11")</f>
        <v>0</v>
      </c>
      <c r="R139" s="699">
        <f>SUMIFS('Payment Registry'!C13:C1013,'Payment Registry'!L13:L1013,"House - Payroll - Taxes",'Payment Registry'!B13:B1013,"12")</f>
        <v>0</v>
      </c>
      <c r="S139" s="105">
        <f>SUMIFS('Payment Registry'!C13:C1013,'Payment Registry'!L13:L1013,"House - Payroll - Taxes",'Payment Registry'!B13:B1013,"1")</f>
        <v>0</v>
      </c>
      <c r="T139" s="699">
        <f>SUMIFS('Payment Registry'!C13:C1013,'Payment Registry'!L13:L1013,"House - Payroll - Taxes",'Payment Registry'!B13:B1013,"2")</f>
        <v>0</v>
      </c>
      <c r="U139" s="105">
        <f>SUMIFS('Payment Registry'!C13:C1013,'Payment Registry'!L13:L1013,"House - Payroll - Taxes",'Payment Registry'!B13:B1013,"3")</f>
        <v>0</v>
      </c>
      <c r="V139" s="699">
        <f>SUMIFS('Payment Registry'!C13:C1013,'Payment Registry'!L13:L1013,"House - Payroll - Taxes",'Payment Registry'!B13:B1013,"4")</f>
        <v>0</v>
      </c>
      <c r="W139" s="105">
        <f>SUMIFS('Payment Registry'!C13:C1013,'Payment Registry'!L13:L1013,"House - Payroll - Taxes",'Payment Registry'!B13:B1013,"5")</f>
        <v>0</v>
      </c>
      <c r="X139" s="699">
        <f>SUMIFS('Payment Registry'!C13:C1013,'Payment Registry'!L13:L1013,"House - Payroll - Taxes",'Payment Registry'!B13:B1013,"6")</f>
        <v>0</v>
      </c>
    </row>
    <row r="140" spans="1:24" x14ac:dyDescent="0.2">
      <c r="A140" s="275" t="s">
        <v>260</v>
      </c>
      <c r="B140" s="14">
        <f>IF('House-Kitchen Budget Worksheet'!A4="",0,IF('House-Kitchen Budget Worksheet'!A4="9 months",'House-Kitchen Budget Worksheet'!H36*5,IF('House-Kitchen Budget Worksheet'!A4="12 months",'House-Kitchen Budget Worksheet'!G36*6)))</f>
        <v>0</v>
      </c>
      <c r="C140" s="79">
        <f>IF('House-Kitchen Budget Worksheet'!A4="",0,IF('House-Kitchen Budget Worksheet'!A4="9 months",'House-Kitchen Budget Worksheet'!H36*4,IF('House-Kitchen Budget Worksheet'!A4="12 months",'House-Kitchen Budget Worksheet'!G36*6)))</f>
        <v>0</v>
      </c>
      <c r="D140" s="14">
        <f t="shared" si="79"/>
        <v>0</v>
      </c>
      <c r="F140" s="14">
        <f t="shared" si="80"/>
        <v>0</v>
      </c>
      <c r="G140" s="79">
        <f t="shared" si="81"/>
        <v>0</v>
      </c>
      <c r="H140" s="14">
        <f t="shared" si="82"/>
        <v>0</v>
      </c>
      <c r="J140" s="14">
        <f t="shared" si="83"/>
        <v>0</v>
      </c>
      <c r="K140" s="79">
        <f t="shared" si="84"/>
        <v>0</v>
      </c>
      <c r="L140" s="14">
        <f t="shared" si="85"/>
        <v>0</v>
      </c>
      <c r="M140" s="105">
        <f>SUMIFS('Payment Registry'!C13:C1013,'Payment Registry'!L13:L1013,"House - Employee Benefits",'Payment Registry'!B13:B1013,"7")</f>
        <v>0</v>
      </c>
      <c r="N140" s="699">
        <f>SUMIFS('Payment Registry'!C13:C1013,'Payment Registry'!L13:L1013,"House - Employee Benefits",'Payment Registry'!B13:B1013,"8")</f>
        <v>0</v>
      </c>
      <c r="O140" s="105">
        <f>SUMIFS('Payment Registry'!C13:C1013,'Payment Registry'!L13:L1013,"House - Employee Benefits",'Payment Registry'!B13:B1013,"9")</f>
        <v>0</v>
      </c>
      <c r="P140" s="699">
        <f>SUMIFS('Payment Registry'!C13:C1013,'Payment Registry'!L13:L1013,"House - Employee Benefits",'Payment Registry'!B13:B1013,"10")</f>
        <v>0</v>
      </c>
      <c r="Q140" s="105">
        <f>SUMIFS('Payment Registry'!C13:C1013,'Payment Registry'!L13:L1013,"House - Employee Benefits",'Payment Registry'!B13:B1013,"11")</f>
        <v>0</v>
      </c>
      <c r="R140" s="699">
        <f>SUMIFS('Payment Registry'!C13:C1013,'Payment Registry'!L13:L1013,"House - Employee Benefits",'Payment Registry'!B13:B1013,"12")</f>
        <v>0</v>
      </c>
      <c r="S140" s="105">
        <f>SUMIFS('Payment Registry'!C13:C1013,'Payment Registry'!L13:L1013,"House - Employee Benefits",'Payment Registry'!B13:B1013,"1")</f>
        <v>0</v>
      </c>
      <c r="T140" s="699">
        <f>SUMIFS('Payment Registry'!C13:C1013,'Payment Registry'!L13:L1013,"House - Employee Benefits",'Payment Registry'!B13:B1013,"2")</f>
        <v>0</v>
      </c>
      <c r="U140" s="105">
        <f>SUMIFS('Payment Registry'!C13:C1013,'Payment Registry'!L13:L1013,"House - Employee Benefits",'Payment Registry'!B13:B1013,"3")</f>
        <v>0</v>
      </c>
      <c r="V140" s="699">
        <f>SUMIFS('Payment Registry'!C13:C1013,'Payment Registry'!L13:L1013,"House - Employee Benefits",'Payment Registry'!B13:B1013,"4")</f>
        <v>0</v>
      </c>
      <c r="W140" s="105">
        <f>SUMIFS('Payment Registry'!C13:C1013,'Payment Registry'!L13:L1013,"House - Employee Benefits",'Payment Registry'!B13:B1013,"5")</f>
        <v>0</v>
      </c>
      <c r="X140" s="699">
        <f>SUMIFS('Payment Registry'!C13:C1013,'Payment Registry'!L13:L1013,"House - Employee Benefits",'Payment Registry'!B13:B1013,"6")</f>
        <v>0</v>
      </c>
    </row>
    <row r="141" spans="1:24" ht="15" x14ac:dyDescent="0.35">
      <c r="A141" s="275" t="s">
        <v>79</v>
      </c>
      <c r="B141" s="81">
        <f>IF('House-Kitchen Budget Worksheet'!A4="",0,IF('House-Kitchen Budget Worksheet'!A4="9 months",'House-Kitchen Budget Worksheet'!H37*5,IF('House-Kitchen Budget Worksheet'!A4="12 months",'House-Kitchen Budget Worksheet'!G37*6)))</f>
        <v>0</v>
      </c>
      <c r="C141" s="310">
        <f>IF('House-Kitchen Budget Worksheet'!A4="",0,IF('House-Kitchen Budget Worksheet'!A4="9 months",'House-Kitchen Budget Worksheet'!H37*4,IF('House-Kitchen Budget Worksheet'!A4="12 months",'House-Kitchen Budget Worksheet'!G37*6)))</f>
        <v>0</v>
      </c>
      <c r="D141" s="81">
        <f t="shared" si="79"/>
        <v>0</v>
      </c>
      <c r="F141" s="81">
        <f t="shared" si="80"/>
        <v>0</v>
      </c>
      <c r="G141" s="310">
        <f t="shared" si="81"/>
        <v>0</v>
      </c>
      <c r="H141" s="81">
        <f t="shared" si="82"/>
        <v>0</v>
      </c>
      <c r="I141" s="124"/>
      <c r="J141" s="81">
        <f t="shared" si="83"/>
        <v>0</v>
      </c>
      <c r="K141" s="310">
        <f t="shared" si="84"/>
        <v>0</v>
      </c>
      <c r="L141" s="81">
        <f t="shared" si="85"/>
        <v>0</v>
      </c>
      <c r="M141" s="111">
        <f>SUMIFS('Payment Registry'!C13:C1013,'Payment Registry'!L13:L1013,"House - Miscellaneous",'Payment Registry'!B13:B1013,"7")</f>
        <v>0</v>
      </c>
      <c r="N141" s="700">
        <f>SUMIFS('Payment Registry'!C13:C1013,'Payment Registry'!L13:L1013,"House - Miscellaneous",'Payment Registry'!B13:B1013,"8")</f>
        <v>0</v>
      </c>
      <c r="O141" s="111">
        <f>SUMIFS('Payment Registry'!C13:C1013,'Payment Registry'!L13:L1013,"House - Miscellaneous",'Payment Registry'!B13:B1013,"9")</f>
        <v>0</v>
      </c>
      <c r="P141" s="700">
        <f>SUMIFS('Payment Registry'!C13:C1013,'Payment Registry'!L13:L1013,"House - Miscellaneous",'Payment Registry'!B13:B1013,"10")</f>
        <v>0</v>
      </c>
      <c r="Q141" s="111">
        <f>SUMIFS('Payment Registry'!C13:C1013,'Payment Registry'!L13:L1013,"House - Miscellaneous",'Payment Registry'!B13:B1013,"11")</f>
        <v>0</v>
      </c>
      <c r="R141" s="700">
        <f>SUMIFS('Payment Registry'!C13:C1013,'Payment Registry'!L13:L1013,"House - Miscellaneous",'Payment Registry'!B13:B1013,"12")</f>
        <v>0</v>
      </c>
      <c r="S141" s="111">
        <f>SUMIFS('Payment Registry'!C13:C1013,'Payment Registry'!L13:L1013,"House - Miscellaneous",'Payment Registry'!B13:B1013,"1")</f>
        <v>0</v>
      </c>
      <c r="T141" s="700">
        <f>SUMIFS('Payment Registry'!C13:C1013,'Payment Registry'!L13:L1013,"House - Miscellaneous",'Payment Registry'!B13:B1013,"2")</f>
        <v>0</v>
      </c>
      <c r="U141" s="111">
        <f>SUMIFS('Payment Registry'!C13:C1013,'Payment Registry'!L13:L1013,"House - Miscellaneous",'Payment Registry'!B13:B1013,"3")</f>
        <v>0</v>
      </c>
      <c r="V141" s="700">
        <f>SUMIFS('Payment Registry'!C13:C1013,'Payment Registry'!L13:L1013,"House - Miscellaneous",'Payment Registry'!B13:B1013,"4")</f>
        <v>0</v>
      </c>
      <c r="W141" s="111">
        <f>SUMIFS('Payment Registry'!C13:C1013,'Payment Registry'!L13:L1013,"House - Miscellaneous",'Payment Registry'!B13:B1013,"5")</f>
        <v>0</v>
      </c>
      <c r="X141" s="700">
        <f>SUMIFS('Payment Registry'!C13:C1013,'Payment Registry'!L13:L1013,"House - Miscellaneous",'Payment Registry'!B13:B1013,"6")</f>
        <v>0</v>
      </c>
    </row>
    <row r="142" spans="1:24" x14ac:dyDescent="0.2">
      <c r="A142" s="275"/>
      <c r="C142" s="119"/>
      <c r="G142" s="119"/>
      <c r="K142" s="119"/>
      <c r="M142" s="105"/>
      <c r="N142" s="699"/>
      <c r="O142" s="105"/>
      <c r="P142" s="699"/>
      <c r="Q142" s="105"/>
      <c r="R142" s="699"/>
      <c r="S142" s="105"/>
      <c r="T142" s="699"/>
      <c r="U142" s="105"/>
      <c r="V142" s="699"/>
      <c r="W142" s="105"/>
      <c r="X142" s="699"/>
    </row>
    <row r="143" spans="1:24" ht="31.5" x14ac:dyDescent="0.55000000000000004">
      <c r="A143" s="288" t="s">
        <v>344</v>
      </c>
      <c r="B143" s="134">
        <f>SUM(B112:B141)</f>
        <v>0</v>
      </c>
      <c r="C143" s="135">
        <f>SUM(C112:C141)</f>
        <v>0</v>
      </c>
      <c r="D143" s="134">
        <f>SUM(B143:C143)</f>
        <v>0</v>
      </c>
      <c r="F143" s="134">
        <f t="shared" ref="F143:H143" si="86">SUM(F112:F141)</f>
        <v>0</v>
      </c>
      <c r="G143" s="135">
        <f t="shared" si="86"/>
        <v>0</v>
      </c>
      <c r="H143" s="134">
        <f t="shared" si="86"/>
        <v>0</v>
      </c>
      <c r="J143" s="134">
        <f t="shared" ref="J143:L143" si="87">SUM(J112:J141)</f>
        <v>0</v>
      </c>
      <c r="K143" s="135">
        <f t="shared" si="87"/>
        <v>0</v>
      </c>
      <c r="L143" s="134">
        <f t="shared" si="87"/>
        <v>0</v>
      </c>
      <c r="M143" s="135">
        <f t="shared" ref="M143:X143" si="88">SUM(M112:M141)</f>
        <v>0</v>
      </c>
      <c r="N143" s="701">
        <f t="shared" si="88"/>
        <v>0</v>
      </c>
      <c r="O143" s="135">
        <f t="shared" si="88"/>
        <v>0</v>
      </c>
      <c r="P143" s="701">
        <f t="shared" si="88"/>
        <v>0</v>
      </c>
      <c r="Q143" s="135">
        <f t="shared" si="88"/>
        <v>0</v>
      </c>
      <c r="R143" s="701">
        <f t="shared" si="88"/>
        <v>0</v>
      </c>
      <c r="S143" s="135">
        <f t="shared" si="88"/>
        <v>0</v>
      </c>
      <c r="T143" s="701">
        <f t="shared" si="88"/>
        <v>0</v>
      </c>
      <c r="U143" s="135">
        <f t="shared" si="88"/>
        <v>0</v>
      </c>
      <c r="V143" s="701">
        <f t="shared" si="88"/>
        <v>0</v>
      </c>
      <c r="W143" s="135">
        <f t="shared" si="88"/>
        <v>0</v>
      </c>
      <c r="X143" s="701">
        <f t="shared" si="88"/>
        <v>0</v>
      </c>
    </row>
    <row r="144" spans="1:24" ht="13.5" thickBot="1" x14ac:dyDescent="0.25">
      <c r="A144" s="275"/>
      <c r="C144" s="119"/>
      <c r="G144" s="119"/>
      <c r="K144" s="119"/>
      <c r="M144" s="105"/>
      <c r="N144" s="699"/>
      <c r="O144" s="105"/>
      <c r="P144" s="699"/>
      <c r="Q144" s="105"/>
      <c r="R144" s="699"/>
      <c r="S144" s="105"/>
      <c r="T144" s="699"/>
      <c r="U144" s="105"/>
      <c r="V144" s="699"/>
      <c r="W144" s="105"/>
      <c r="X144" s="699"/>
    </row>
    <row r="145" spans="1:24" ht="32.25" thickBot="1" x14ac:dyDescent="0.3">
      <c r="A145" s="290" t="s">
        <v>309</v>
      </c>
      <c r="B145" s="627">
        <f>B37-B143</f>
        <v>0</v>
      </c>
      <c r="C145" s="628">
        <f>C37-C143</f>
        <v>0</v>
      </c>
      <c r="D145" s="629">
        <f>D37-D143</f>
        <v>0</v>
      </c>
      <c r="E145" s="630"/>
      <c r="F145" s="629">
        <f>F37-F143</f>
        <v>0</v>
      </c>
      <c r="G145" s="628">
        <f>G37-G143</f>
        <v>0</v>
      </c>
      <c r="H145" s="629">
        <f>H37-H143</f>
        <v>0</v>
      </c>
      <c r="I145" s="630"/>
      <c r="J145" s="629">
        <f>J37-J143</f>
        <v>0</v>
      </c>
      <c r="K145" s="628">
        <f>K37-K143</f>
        <v>0</v>
      </c>
      <c r="L145" s="629">
        <f>L37-L143</f>
        <v>0</v>
      </c>
      <c r="M145" s="628">
        <f t="shared" ref="M145:X145" si="89">M37-M143</f>
        <v>0</v>
      </c>
      <c r="N145" s="702">
        <f t="shared" si="89"/>
        <v>0</v>
      </c>
      <c r="O145" s="628">
        <f t="shared" si="89"/>
        <v>0</v>
      </c>
      <c r="P145" s="702">
        <f t="shared" si="89"/>
        <v>0</v>
      </c>
      <c r="Q145" s="628">
        <f t="shared" si="89"/>
        <v>0</v>
      </c>
      <c r="R145" s="702">
        <f t="shared" si="89"/>
        <v>0</v>
      </c>
      <c r="S145" s="628">
        <f t="shared" si="89"/>
        <v>0</v>
      </c>
      <c r="T145" s="702">
        <f t="shared" si="89"/>
        <v>0</v>
      </c>
      <c r="U145" s="628">
        <f t="shared" si="89"/>
        <v>0</v>
      </c>
      <c r="V145" s="702">
        <f t="shared" si="89"/>
        <v>0</v>
      </c>
      <c r="W145" s="628">
        <f t="shared" si="89"/>
        <v>0</v>
      </c>
      <c r="X145" s="706">
        <f t="shared" si="89"/>
        <v>0</v>
      </c>
    </row>
    <row r="146" spans="1:24" x14ac:dyDescent="0.2">
      <c r="C146" s="119"/>
      <c r="G146" s="119"/>
      <c r="K146" s="119"/>
      <c r="M146" s="105"/>
      <c r="N146" s="699"/>
      <c r="O146" s="105"/>
      <c r="P146" s="699"/>
      <c r="Q146" s="105"/>
      <c r="R146" s="699"/>
      <c r="S146" s="105"/>
      <c r="T146" s="699"/>
      <c r="U146" s="105"/>
      <c r="V146" s="699"/>
      <c r="W146" s="105"/>
      <c r="X146" s="699"/>
    </row>
    <row r="147" spans="1:24" ht="15.75" x14ac:dyDescent="0.25">
      <c r="A147" s="293" t="s">
        <v>170</v>
      </c>
      <c r="C147" s="119"/>
      <c r="G147" s="119"/>
      <c r="K147" s="119"/>
      <c r="M147" s="105"/>
      <c r="N147" s="699"/>
      <c r="O147" s="105"/>
      <c r="P147" s="699"/>
      <c r="Q147" s="105"/>
      <c r="R147" s="699"/>
      <c r="S147" s="105"/>
      <c r="T147" s="699"/>
      <c r="U147" s="105"/>
      <c r="V147" s="699"/>
      <c r="W147" s="105"/>
      <c r="X147" s="699"/>
    </row>
    <row r="148" spans="1:24" x14ac:dyDescent="0.2">
      <c r="A148" s="295" t="s">
        <v>263</v>
      </c>
      <c r="B148" s="14">
        <f>IF('House-Kitchen Budget Worksheet'!A4="",0,IF('House-Kitchen Budget Worksheet'!A4="9 months",'House-Kitchen Budget Worksheet'!H60*5,IF('House-Kitchen Budget Worksheet'!A4="12 months",'House-Kitchen Budget Worksheet'!G60*6)))</f>
        <v>0</v>
      </c>
      <c r="C148" s="79">
        <f>IF('House-Kitchen Budget Worksheet'!A4="",0,IF('House-Kitchen Budget Worksheet'!A4="9 months",'House-Kitchen Budget Worksheet'!H60*4,IF('House-Kitchen Budget Worksheet'!A4="12 months",'House-Kitchen Budget Worksheet'!G60*6)))</f>
        <v>0</v>
      </c>
      <c r="D148" s="14">
        <f>SUM(B148:C148)</f>
        <v>0</v>
      </c>
      <c r="F148" s="14">
        <f t="shared" ref="F148:F149" si="90">SUM(M148:R148)</f>
        <v>0</v>
      </c>
      <c r="G148" s="79">
        <f t="shared" ref="G148:G149" si="91">SUM(S148:X148)</f>
        <v>0</v>
      </c>
      <c r="H148" s="14">
        <f t="shared" ref="H148:H149" si="92">SUM(F148:G148)</f>
        <v>0</v>
      </c>
      <c r="J148" s="14">
        <f t="shared" ref="J148:K149" si="93">F148-B148</f>
        <v>0</v>
      </c>
      <c r="K148" s="79">
        <f t="shared" si="93"/>
        <v>0</v>
      </c>
      <c r="L148" s="14">
        <f t="shared" ref="L148:L149" si="94">SUM(J148:K148)</f>
        <v>0</v>
      </c>
      <c r="M148" s="105">
        <f>SUMIFS('Payment Registry'!C13:C1013,'Payment Registry'!L13:L1013,"Kitchen - Food",'Payment Registry'!B13:B1013,"7")</f>
        <v>0</v>
      </c>
      <c r="N148" s="699">
        <f>SUMIFS('Payment Registry'!C13:C1013,'Payment Registry'!L13:L1013,"Kitchen - Food",'Payment Registry'!B13:B1013,"8")</f>
        <v>0</v>
      </c>
      <c r="O148" s="105">
        <f>SUMIFS('Payment Registry'!C13:C1013,'Payment Registry'!L13:L1013,"Kitchen - Food",'Payment Registry'!B13:B1013,"9")</f>
        <v>0</v>
      </c>
      <c r="P148" s="699">
        <f>SUMIFS('Payment Registry'!C13:C1013,'Payment Registry'!L13:L1013,"Kitchen - Food",'Payment Registry'!B13:B1013,"10")</f>
        <v>0</v>
      </c>
      <c r="Q148" s="105">
        <f>SUMIFS('Payment Registry'!C13:C1013,'Payment Registry'!L13:L1013,"Kitchen - Food",'Payment Registry'!B13:B1013,"11")</f>
        <v>0</v>
      </c>
      <c r="R148" s="699">
        <f>SUMIFS('Payment Registry'!C13:C1013,'Payment Registry'!L13:L1013,"Kitchen - Food",'Payment Registry'!B13:B1013,"12")</f>
        <v>0</v>
      </c>
      <c r="S148" s="105">
        <f>SUMIFS('Payment Registry'!C13:C1013,'Payment Registry'!L13:L1013,"Kitchen - Food",'Payment Registry'!B13:B1013,"1")</f>
        <v>0</v>
      </c>
      <c r="T148" s="699">
        <f>SUMIFS('Payment Registry'!C13:C1013,'Payment Registry'!L13:L1013,"Kitchen - Food",'Payment Registry'!B13:B1013,"2")</f>
        <v>0</v>
      </c>
      <c r="U148" s="105">
        <f>SUMIFS('Payment Registry'!C13:C1013,'Payment Registry'!L13:L1013,"Kitchen - Food",'Payment Registry'!B13:B1013,"3")</f>
        <v>0</v>
      </c>
      <c r="V148" s="699">
        <f>SUMIFS('Payment Registry'!C13:C1013,'Payment Registry'!L13:L1013,"Kitchen - Food",'Payment Registry'!B13:B1013,"4")</f>
        <v>0</v>
      </c>
      <c r="W148" s="105">
        <f>SUMIFS('Payment Registry'!C13:C1013,'Payment Registry'!L13:L1013,"Kitchen - Food",'Payment Registry'!B13:B1013,"5")</f>
        <v>0</v>
      </c>
      <c r="X148" s="699">
        <f>SUMIFS('Payment Registry'!C13:C1013,'Payment Registry'!L13:L1013,"Kitchen - Food",'Payment Registry'!B13:B1013,"6")</f>
        <v>0</v>
      </c>
    </row>
    <row r="149" spans="1:24" x14ac:dyDescent="0.2">
      <c r="A149" s="295" t="s">
        <v>264</v>
      </c>
      <c r="B149" s="14">
        <f>IF('House-Kitchen Budget Worksheet'!A4="",0,IF('House-Kitchen Budget Worksheet'!A4="9 months",'House-Kitchen Budget Worksheet'!H61*5,IF('House-Kitchen Budget Worksheet'!A4="12 months",'House-Kitchen Budget Worksheet'!G61*6)))</f>
        <v>0</v>
      </c>
      <c r="C149" s="79">
        <f>IF('House-Kitchen Budget Worksheet'!A4="",0,IF('House-Kitchen Budget Worksheet'!A4="9 months",'House-Kitchen Budget Worksheet'!H61*4,IF('House-Kitchen Budget Worksheet'!A4="12 months",'House-Kitchen Budget Worksheet'!G61*6)))</f>
        <v>0</v>
      </c>
      <c r="D149" s="14">
        <f>SUM(B149:C149)</f>
        <v>0</v>
      </c>
      <c r="F149" s="14">
        <f t="shared" si="90"/>
        <v>0</v>
      </c>
      <c r="G149" s="79">
        <f t="shared" si="91"/>
        <v>0</v>
      </c>
      <c r="H149" s="14">
        <f t="shared" si="92"/>
        <v>0</v>
      </c>
      <c r="J149" s="14">
        <f t="shared" si="93"/>
        <v>0</v>
      </c>
      <c r="K149" s="79">
        <f t="shared" si="93"/>
        <v>0</v>
      </c>
      <c r="L149" s="14">
        <f t="shared" si="94"/>
        <v>0</v>
      </c>
      <c r="M149" s="105">
        <f>SUMIFS('Payment Registry'!C13:C1013,'Payment Registry'!L13:L1013,"Kitchen - Supplies",'Payment Registry'!B13:B1013,"7")</f>
        <v>0</v>
      </c>
      <c r="N149" s="699">
        <f>SUMIFS('Payment Registry'!C13:C1013,'Payment Registry'!L13:L1013,"Kitchen - Supplies",'Payment Registry'!B13:B1013,"8")</f>
        <v>0</v>
      </c>
      <c r="O149" s="105">
        <f>SUMIFS('Payment Registry'!C13:C1013,'Payment Registry'!L13:L1013,"Kitchen - Supplies",'Payment Registry'!B13:B1013,"9")</f>
        <v>0</v>
      </c>
      <c r="P149" s="699">
        <f>SUMIFS('Payment Registry'!C13:C1013,'Payment Registry'!L13:L1013,"Kitchen - Supplies",'Payment Registry'!B13:B1013,"10")</f>
        <v>0</v>
      </c>
      <c r="Q149" s="105">
        <f>SUMIFS('Payment Registry'!C13:C1013,'Payment Registry'!L13:L1013,"Kitchen - Supplies",'Payment Registry'!B13:B1013,"11")</f>
        <v>0</v>
      </c>
      <c r="R149" s="699">
        <f>SUMIFS('Payment Registry'!C13:C1013,'Payment Registry'!L13:L1013,"Kitchen - Supplies",'Payment Registry'!B13:B1013,"12")</f>
        <v>0</v>
      </c>
      <c r="S149" s="105">
        <f>SUMIFS('Payment Registry'!C13:C1013,'Payment Registry'!L13:L1013,"Kitchen - Supplies",'Payment Registry'!B13:B1013,"1")</f>
        <v>0</v>
      </c>
      <c r="T149" s="699">
        <f>SUMIFS('Payment Registry'!C13:C1013,'Payment Registry'!L13:L1013,"Kitchen - Supplies",'Payment Registry'!B13:B1013,"2")</f>
        <v>0</v>
      </c>
      <c r="U149" s="105">
        <f>SUMIFS('Payment Registry'!C13:C1013,'Payment Registry'!L13:L1013,"Kitchen - Supplies",'Payment Registry'!B13:B1013,"3")</f>
        <v>0</v>
      </c>
      <c r="V149" s="699">
        <f>SUMIFS('Payment Registry'!C13:C1013,'Payment Registry'!L13:L1013,"Kitchen - Supplies",'Payment Registry'!B13:B1013,"4")</f>
        <v>0</v>
      </c>
      <c r="W149" s="105">
        <f>SUMIFS('Payment Registry'!C13:C1013,'Payment Registry'!L13:L1013,"Kitchen - Supplies",'Payment Registry'!B13:B1013,"5")</f>
        <v>0</v>
      </c>
      <c r="X149" s="699">
        <f>SUMIFS('Payment Registry'!C13:C1013,'Payment Registry'!L13:L1013,"Kitchen - Supplies",'Payment Registry'!B13:B1013,"6")</f>
        <v>0</v>
      </c>
    </row>
    <row r="150" spans="1:24" x14ac:dyDescent="0.2">
      <c r="A150" s="295" t="s">
        <v>239</v>
      </c>
      <c r="C150" s="119"/>
      <c r="G150" s="119"/>
      <c r="K150" s="119"/>
      <c r="M150" s="105"/>
      <c r="N150" s="699"/>
      <c r="O150" s="105"/>
      <c r="P150" s="699"/>
      <c r="Q150" s="105"/>
      <c r="R150" s="699"/>
      <c r="S150" s="105"/>
      <c r="T150" s="699"/>
      <c r="U150" s="105"/>
      <c r="V150" s="699"/>
      <c r="W150" s="105"/>
      <c r="X150" s="699"/>
    </row>
    <row r="151" spans="1:24" x14ac:dyDescent="0.2">
      <c r="A151" s="295" t="s">
        <v>242</v>
      </c>
      <c r="B151" s="14">
        <f>IF('House-Kitchen Budget Worksheet'!A4="",0,IF('House-Kitchen Budget Worksheet'!A4="9 months",'House-Kitchen Budget Worksheet'!H63*5,IF('House-Kitchen Budget Worksheet'!A4="12 months",'House-Kitchen Budget Worksheet'!G63*6)))</f>
        <v>0</v>
      </c>
      <c r="C151" s="79">
        <f>IF('House-Kitchen Budget Worksheet'!A4="",0,IF('House-Kitchen Budget Worksheet'!A4="9 months",'House-Kitchen Budget Worksheet'!H63*4,IF('House-Kitchen Budget Worksheet'!A4="12 months",'House-Kitchen Budget Worksheet'!G63*6)))</f>
        <v>0</v>
      </c>
      <c r="D151" s="14">
        <f>SUM(B151:C151)</f>
        <v>0</v>
      </c>
      <c r="F151" s="14">
        <f t="shared" ref="F151:F153" si="95">SUM(M151:R151)</f>
        <v>0</v>
      </c>
      <c r="G151" s="79">
        <f t="shared" ref="G151:G153" si="96">SUM(S151:X151)</f>
        <v>0</v>
      </c>
      <c r="H151" s="14">
        <f t="shared" ref="H151:H153" si="97">SUM(F151:G151)</f>
        <v>0</v>
      </c>
      <c r="J151" s="14">
        <f t="shared" ref="J151:K153" si="98">F151-B151</f>
        <v>0</v>
      </c>
      <c r="K151" s="79">
        <f t="shared" si="98"/>
        <v>0</v>
      </c>
      <c r="L151" s="14">
        <f t="shared" ref="L151:L153" si="99">SUM(J151:K151)</f>
        <v>0</v>
      </c>
      <c r="M151" s="105">
        <f>SUMIFS('Payment Registry'!C13:C1013,'Payment Registry'!L13:L1013,"Kitchen - Repairs: Appliances",'Payment Registry'!B13:B1013,"7")</f>
        <v>0</v>
      </c>
      <c r="N151" s="699">
        <f>SUMIFS('Payment Registry'!C13:C1013,'Payment Registry'!L13:L1013,"Kitchen - Repairs: Appliances",'Payment Registry'!B13:B1013,"8")</f>
        <v>0</v>
      </c>
      <c r="O151" s="105">
        <f>SUMIFS('Payment Registry'!C13:C1013,'Payment Registry'!L13:L1013,"Kitchen - Repairs: Appliances",'Payment Registry'!B13:B1013,"9")</f>
        <v>0</v>
      </c>
      <c r="P151" s="699">
        <f>SUMIFS('Payment Registry'!C13:C1013,'Payment Registry'!L13:L1013,"Kitchen - Repairs: Appliances",'Payment Registry'!B13:B1013,"10")</f>
        <v>0</v>
      </c>
      <c r="Q151" s="105">
        <f>SUMIFS('Payment Registry'!C13:C1013,'Payment Registry'!L13:L1013,"Kitchen - Repairs: Appliances",'Payment Registry'!B13:B1013,"11")</f>
        <v>0</v>
      </c>
      <c r="R151" s="699">
        <f>SUMIFS('Payment Registry'!C13:C1013,'Payment Registry'!L13:L1013,"Kitchen - Repairs: Appliances",'Payment Registry'!B13:B1013,"12")</f>
        <v>0</v>
      </c>
      <c r="S151" s="105">
        <f>SUMIFS('Payment Registry'!C13:C1013,'Payment Registry'!L13:L1013,"Kitchen - Repairs: Appliances",'Payment Registry'!B13:B1013,"1")</f>
        <v>0</v>
      </c>
      <c r="T151" s="699">
        <f>SUMIFS('Payment Registry'!C13:C1013,'Payment Registry'!L13:L1013,"Kitchen - Repairs: Appliances",'Payment Registry'!B13:B1013,"2")</f>
        <v>0</v>
      </c>
      <c r="U151" s="105">
        <f>SUMIFS('Payment Registry'!C13:C1013,'Payment Registry'!L13:L1013,"Kitchen - Repairs: Appliances",'Payment Registry'!B13:B1013,"3")</f>
        <v>0</v>
      </c>
      <c r="V151" s="699">
        <f>SUMIFS('Payment Registry'!C13:C1013,'Payment Registry'!L13:L1013,"Kitchen - Repairs: Appliances",'Payment Registry'!B13:B1013,"4")</f>
        <v>0</v>
      </c>
      <c r="W151" s="105">
        <f>SUMIFS('Payment Registry'!C13:C1013,'Payment Registry'!L13:L1013,"Kitchen - Repairs: Appliances",'Payment Registry'!B13:B1013,"5")</f>
        <v>0</v>
      </c>
      <c r="X151" s="699">
        <f>SUMIFS('Payment Registry'!C13:C1013,'Payment Registry'!L13:L1013,"Kitchen - Repairs: Appliances",'Payment Registry'!B13:B1013,"6")</f>
        <v>0</v>
      </c>
    </row>
    <row r="152" spans="1:24" x14ac:dyDescent="0.2">
      <c r="A152" s="295" t="s">
        <v>265</v>
      </c>
      <c r="B152" s="14">
        <f>IF('House-Kitchen Budget Worksheet'!A4="",0,IF('House-Kitchen Budget Worksheet'!A4="9 months",'House-Kitchen Budget Worksheet'!H64*5,IF('House-Kitchen Budget Worksheet'!A4="12 months",'House-Kitchen Budget Worksheet'!G64*6)))</f>
        <v>0</v>
      </c>
      <c r="C152" s="79">
        <f>IF('House-Kitchen Budget Worksheet'!A4="",0,IF('House-Kitchen Budget Worksheet'!A4="9 months",'House-Kitchen Budget Worksheet'!H64*4,IF('House-Kitchen Budget Worksheet'!A4="12 months",'House-Kitchen Budget Worksheet'!G64*6)))</f>
        <v>0</v>
      </c>
      <c r="D152" s="14">
        <f>SUM(B152:C152)</f>
        <v>0</v>
      </c>
      <c r="F152" s="14">
        <f t="shared" si="95"/>
        <v>0</v>
      </c>
      <c r="G152" s="79">
        <f t="shared" si="96"/>
        <v>0</v>
      </c>
      <c r="H152" s="14">
        <f t="shared" si="97"/>
        <v>0</v>
      </c>
      <c r="J152" s="14">
        <f t="shared" si="98"/>
        <v>0</v>
      </c>
      <c r="K152" s="79">
        <f t="shared" si="98"/>
        <v>0</v>
      </c>
      <c r="L152" s="14">
        <f t="shared" si="99"/>
        <v>0</v>
      </c>
      <c r="M152" s="105">
        <f>SUMIFS('Payment Registry'!C13:C1013,'Payment Registry'!L13:L1013,"Kitchen - Repairs: Ventilation",'Payment Registry'!B13:B1013,"7")</f>
        <v>0</v>
      </c>
      <c r="N152" s="699">
        <f>SUMIFS('Payment Registry'!C13:C1013,'Payment Registry'!L13:L1013,"Kitchen - Repairs: Ventilation",'Payment Registry'!B13:B1013,"8")</f>
        <v>0</v>
      </c>
      <c r="O152" s="105">
        <f>SUMIFS('Payment Registry'!C13:C1013,'Payment Registry'!L13:L1013,"Kitchen - Repairs: Ventilation",'Payment Registry'!B13:B1013,"9")</f>
        <v>0</v>
      </c>
      <c r="P152" s="699">
        <f>SUMIFS('Payment Registry'!C13:C1013,'Payment Registry'!L13:L1013,"Kitchen - Repairs: Ventilation",'Payment Registry'!B13:B1013,"10")</f>
        <v>0</v>
      </c>
      <c r="Q152" s="105">
        <f>SUMIFS('Payment Registry'!C13:C1013,'Payment Registry'!L13:L1013,"Kitchen - Repairs: Ventilation",'Payment Registry'!B13:B1013,"11")</f>
        <v>0</v>
      </c>
      <c r="R152" s="699">
        <f>SUMIFS('Payment Registry'!C13:C1013,'Payment Registry'!L13:L1013,"Kitchen - Repairs: Ventilation",'Payment Registry'!B13:B1013,"12")</f>
        <v>0</v>
      </c>
      <c r="S152" s="105">
        <f>SUMIFS('Payment Registry'!C13:C1013,'Payment Registry'!L13:L1013,"Kitchen - Repairs: Ventilation",'Payment Registry'!B13:B1013,"1")</f>
        <v>0</v>
      </c>
      <c r="T152" s="699">
        <f>SUMIFS('Payment Registry'!C13:C1013,'Payment Registry'!L13:L1013,"Kitchen - Repairs: Ventilation",'Payment Registry'!B13:B1013,"2")</f>
        <v>0</v>
      </c>
      <c r="U152" s="105">
        <f>SUMIFS('Payment Registry'!C13:C1013,'Payment Registry'!L13:L1013,"Kitchen - Repairs: Ventilation",'Payment Registry'!B13:B1013,"3")</f>
        <v>0</v>
      </c>
      <c r="V152" s="699">
        <f>SUMIFS('Payment Registry'!C13:C1013,'Payment Registry'!L13:L1013,"Kitchen - Repairs: Ventilation",'Payment Registry'!B13:B1013,"4")</f>
        <v>0</v>
      </c>
      <c r="W152" s="105">
        <f>SUMIFS('Payment Registry'!C13:C1013,'Payment Registry'!L13:L1013,"Kitchen - Repairs: Ventilation",'Payment Registry'!B13:B1013,"5")</f>
        <v>0</v>
      </c>
      <c r="X152" s="699">
        <f>SUMIFS('Payment Registry'!C13:C1013,'Payment Registry'!L13:L1013,"Kitchen - Repairs: Ventilation",'Payment Registry'!B13:B1013,"6")</f>
        <v>0</v>
      </c>
    </row>
    <row r="153" spans="1:24" x14ac:dyDescent="0.2">
      <c r="A153" s="295" t="s">
        <v>250</v>
      </c>
      <c r="B153" s="14">
        <f>IF('House-Kitchen Budget Worksheet'!A4="",0,IF('House-Kitchen Budget Worksheet'!A4="9 months",'House-Kitchen Budget Worksheet'!H65*5,IF('House-Kitchen Budget Worksheet'!A4="12 months",'House-Kitchen Budget Worksheet'!G65*6)))</f>
        <v>0</v>
      </c>
      <c r="C153" s="79">
        <f>IF('House-Kitchen Budget Worksheet'!A4="",0,IF('House-Kitchen Budget Worksheet'!A4="9 months",'House-Kitchen Budget Worksheet'!H65*4,IF('House-Kitchen Budget Worksheet'!A4="12 months",'House-Kitchen Budget Worksheet'!G65*6)))</f>
        <v>0</v>
      </c>
      <c r="D153" s="14">
        <f>SUM(B153:C153)</f>
        <v>0</v>
      </c>
      <c r="F153" s="14">
        <f t="shared" si="95"/>
        <v>0</v>
      </c>
      <c r="G153" s="79">
        <f t="shared" si="96"/>
        <v>0</v>
      </c>
      <c r="H153" s="14">
        <f t="shared" si="97"/>
        <v>0</v>
      </c>
      <c r="J153" s="14">
        <f t="shared" si="98"/>
        <v>0</v>
      </c>
      <c r="K153" s="79">
        <f t="shared" si="98"/>
        <v>0</v>
      </c>
      <c r="L153" s="14">
        <f t="shared" si="99"/>
        <v>0</v>
      </c>
      <c r="M153" s="105">
        <f>SUMIFS('Payment Registry'!C13:C1013,'Payment Registry'!L13:L1013,"Kitchen - Repairs: Other",'Payment Registry'!B13:B1013,"7")</f>
        <v>0</v>
      </c>
      <c r="N153" s="699">
        <f>SUMIFS('Payment Registry'!C13:C1013,'Payment Registry'!L13:L1013,"Kitchen - Repairs: Other",'Payment Registry'!B13:B1013,"8")</f>
        <v>0</v>
      </c>
      <c r="O153" s="105">
        <f>SUMIFS('Payment Registry'!C13:C1013,'Payment Registry'!L13:L1013,"Kitchen - Repairs: Other",'Payment Registry'!B13:B1013,"9")</f>
        <v>0</v>
      </c>
      <c r="P153" s="699">
        <f>SUMIFS('Payment Registry'!C13:C1013,'Payment Registry'!L13:L1013,"Kitchen - Repairs: Other",'Payment Registry'!B13:B1013,"10")</f>
        <v>0</v>
      </c>
      <c r="Q153" s="105">
        <f>SUMIFS('Payment Registry'!C13:C1013,'Payment Registry'!L13:L1013,"Kitchen - Repairs: Other",'Payment Registry'!B13:B1013,"11")</f>
        <v>0</v>
      </c>
      <c r="R153" s="699">
        <f>SUMIFS('Payment Registry'!C13:C1013,'Payment Registry'!L13:L1013,"Kitchen - Repairs: Other",'Payment Registry'!B13:B1013,"12")</f>
        <v>0</v>
      </c>
      <c r="S153" s="105">
        <f>SUMIFS('Payment Registry'!C13:C1013,'Payment Registry'!L13:L1013,"Kitchen - Repairs: Other",'Payment Registry'!B13:B1013,"1")</f>
        <v>0</v>
      </c>
      <c r="T153" s="699">
        <f>SUMIFS('Payment Registry'!C13:C1013,'Payment Registry'!L13:L1013,"Kitchen - Repairs: Other",'Payment Registry'!B13:B1013,"2")</f>
        <v>0</v>
      </c>
      <c r="U153" s="105">
        <f>SUMIFS('Payment Registry'!C13:C1013,'Payment Registry'!L13:L1013,"Kitchen - Repairs: Other",'Payment Registry'!B13:B1013,"3")</f>
        <v>0</v>
      </c>
      <c r="V153" s="699">
        <f>SUMIFS('Payment Registry'!C13:C1013,'Payment Registry'!L13:L1013,"Kitchen - Repairs: Other",'Payment Registry'!B13:B1013,"4")</f>
        <v>0</v>
      </c>
      <c r="W153" s="105">
        <f>SUMIFS('Payment Registry'!C13:C1013,'Payment Registry'!L13:L1013,"Kitchen - Repairs: Other",'Payment Registry'!B13:B1013,"5")</f>
        <v>0</v>
      </c>
      <c r="X153" s="699">
        <f>SUMIFS('Payment Registry'!C13:C1013,'Payment Registry'!L13:L1013,"Kitchen - Repairs: Other",'Payment Registry'!B13:B1013,"6")</f>
        <v>0</v>
      </c>
    </row>
    <row r="154" spans="1:24" x14ac:dyDescent="0.2">
      <c r="A154" s="295" t="s">
        <v>246</v>
      </c>
      <c r="C154" s="119"/>
      <c r="G154" s="119"/>
      <c r="K154" s="119"/>
      <c r="M154" s="105"/>
      <c r="N154" s="699"/>
      <c r="O154" s="105"/>
      <c r="P154" s="699"/>
      <c r="Q154" s="105"/>
      <c r="R154" s="699"/>
      <c r="S154" s="105"/>
      <c r="T154" s="699"/>
      <c r="U154" s="105"/>
      <c r="V154" s="699"/>
      <c r="W154" s="105"/>
      <c r="X154" s="699"/>
    </row>
    <row r="155" spans="1:24" x14ac:dyDescent="0.2">
      <c r="A155" s="295" t="s">
        <v>266</v>
      </c>
      <c r="B155" s="14">
        <f>IF('House-Kitchen Budget Worksheet'!A4="",0,IF('House-Kitchen Budget Worksheet'!A4="9 months",'House-Kitchen Budget Worksheet'!H67*5,IF('House-Kitchen Budget Worksheet'!A4="12 months",'House-Kitchen Budget Worksheet'!G67*6)))</f>
        <v>0</v>
      </c>
      <c r="C155" s="79">
        <f>IF('House-Kitchen Budget Worksheet'!A4="",0,IF('House-Kitchen Budget Worksheet'!A4="9 months",'House-Kitchen Budget Worksheet'!H67*4,IF('House-Kitchen Budget Worksheet'!A4="12 months",'House-Kitchen Budget Worksheet'!G67*6)))</f>
        <v>0</v>
      </c>
      <c r="D155" s="14">
        <f t="shared" ref="D155:D161" si="100">SUM(B155:C155)</f>
        <v>0</v>
      </c>
      <c r="F155" s="14">
        <f t="shared" ref="F155:F161" si="101">SUM(M155:R155)</f>
        <v>0</v>
      </c>
      <c r="G155" s="79">
        <f t="shared" ref="G155:G161" si="102">SUM(S155:X155)</f>
        <v>0</v>
      </c>
      <c r="H155" s="14">
        <f t="shared" ref="H155:H161" si="103">SUM(F155:G155)</f>
        <v>0</v>
      </c>
      <c r="J155" s="14">
        <f t="shared" ref="J155:K161" si="104">F155-B155</f>
        <v>0</v>
      </c>
      <c r="K155" s="79">
        <f t="shared" si="104"/>
        <v>0</v>
      </c>
      <c r="L155" s="14">
        <f t="shared" ref="L155:L161" si="105">SUM(J155:K155)</f>
        <v>0</v>
      </c>
      <c r="M155" s="105">
        <f>SUMIFS('Payment Registry'!C13:C1013,'Payment Registry'!L13:L1013,"Kitchen - Maintenance: Beverage dispenser(s)",'Payment Registry'!B13:B1013,"7")</f>
        <v>0</v>
      </c>
      <c r="N155" s="699">
        <f>SUMIFS('Payment Registry'!C13:C1013,'Payment Registry'!L13:L1013,"Kitchen - Maintenance: Beverage dispenser(s)",'Payment Registry'!B13:B1013,"8")</f>
        <v>0</v>
      </c>
      <c r="O155" s="105">
        <f>SUMIFS('Payment Registry'!C13:C1013,'Payment Registry'!L13:L1013,"Kitchen - Maintenance: Beverage dispenser(s)",'Payment Registry'!B13:B1013,"9")</f>
        <v>0</v>
      </c>
      <c r="P155" s="699">
        <f>SUMIFS('Payment Registry'!C13:C1013,'Payment Registry'!L13:L1013,"Kitchen - Maintenance: Beverage dispenser(s)",'Payment Registry'!B13:B1013,"10")</f>
        <v>0</v>
      </c>
      <c r="Q155" s="105">
        <f>SUMIFS('Payment Registry'!C13:C1013,'Payment Registry'!L13:L1013,"Kitchen - Maintenance: Beverage dispenser(s)",'Payment Registry'!B13:B1013,"11")</f>
        <v>0</v>
      </c>
      <c r="R155" s="699">
        <f>SUMIFS('Payment Registry'!C13:C1013,'Payment Registry'!L13:L1013,"Kitchen - Maintenance: Beverage dispenser(s)",'Payment Registry'!B13:B1013,"12")</f>
        <v>0</v>
      </c>
      <c r="S155" s="105">
        <f>SUMIFS('Payment Registry'!C13:C1013,'Payment Registry'!L13:L1013,"Kitchen - Maintenance: Beverage dispenser(s)",'Payment Registry'!B13:B1013,"1")</f>
        <v>0</v>
      </c>
      <c r="T155" s="699">
        <f>SUMIFS('Payment Registry'!C13:C1013,'Payment Registry'!L13:L1013,"Kitchen - Maintenance: Beverage dispenser(s)",'Payment Registry'!B13:B1013,"2")</f>
        <v>0</v>
      </c>
      <c r="U155" s="105">
        <f>SUMIFS('Payment Registry'!C13:C1013,'Payment Registry'!L13:L1013,"Kitchen - Maintenance: Beverage dispenser(s)",'Payment Registry'!B13:B1013,"3")</f>
        <v>0</v>
      </c>
      <c r="V155" s="699">
        <f>SUMIFS('Payment Registry'!C13:C1013,'Payment Registry'!L13:L1013,"Kitchen - Maintenance: Beverage dispenser(s)",'Payment Registry'!B13:B1013,"4")</f>
        <v>0</v>
      </c>
      <c r="W155" s="105">
        <f>SUMIFS('Payment Registry'!C13:C1013,'Payment Registry'!L13:L1013,"Kitchen - Maintenance: Beverage dispenser(s)",'Payment Registry'!B13:B1013,"5")</f>
        <v>0</v>
      </c>
      <c r="X155" s="699">
        <f>SUMIFS('Payment Registry'!C13:C1013,'Payment Registry'!L13:L1013,"Kitchen - Maintenance: Beverage dispenser(s)",'Payment Registry'!B13:B1013,"6")</f>
        <v>0</v>
      </c>
    </row>
    <row r="156" spans="1:24" x14ac:dyDescent="0.2">
      <c r="A156" s="295" t="s">
        <v>265</v>
      </c>
      <c r="B156" s="14">
        <f>IF('House-Kitchen Budget Worksheet'!A4="",0,IF('House-Kitchen Budget Worksheet'!A4="9 months",'House-Kitchen Budget Worksheet'!H68*5,IF('House-Kitchen Budget Worksheet'!A4="12 months",'House-Kitchen Budget Worksheet'!G68*6)))</f>
        <v>0</v>
      </c>
      <c r="C156" s="79">
        <f>IF('House-Kitchen Budget Worksheet'!A4="",0,IF('House-Kitchen Budget Worksheet'!A4="9 months",'House-Kitchen Budget Worksheet'!H68*4,IF('House-Kitchen Budget Worksheet'!A4="12 months",'House-Kitchen Budget Worksheet'!G68*6)))</f>
        <v>0</v>
      </c>
      <c r="D156" s="14">
        <f t="shared" si="100"/>
        <v>0</v>
      </c>
      <c r="F156" s="14">
        <f t="shared" si="101"/>
        <v>0</v>
      </c>
      <c r="G156" s="79">
        <f t="shared" si="102"/>
        <v>0</v>
      </c>
      <c r="H156" s="14">
        <f t="shared" si="103"/>
        <v>0</v>
      </c>
      <c r="J156" s="14">
        <f t="shared" si="104"/>
        <v>0</v>
      </c>
      <c r="K156" s="79">
        <f t="shared" si="104"/>
        <v>0</v>
      </c>
      <c r="L156" s="14">
        <f t="shared" si="105"/>
        <v>0</v>
      </c>
      <c r="M156" s="105">
        <f>SUMIFS('Payment Registry'!C13:C1013,'Payment Registry'!L13:L1013,"Kitchen - Maintenance: Ventilation",'Payment Registry'!B13:B1013,"7")</f>
        <v>0</v>
      </c>
      <c r="N156" s="699">
        <f>SUMIFS('Payment Registry'!C13:C1013,'Payment Registry'!L13:L1013,"Kitchen - Maintenance: Ventilation",'Payment Registry'!B13:B1013,"8")</f>
        <v>0</v>
      </c>
      <c r="O156" s="105">
        <f>SUMIFS('Payment Registry'!C13:C1013,'Payment Registry'!L13:L1013,"Kitchen - Maintenance: Ventilation",'Payment Registry'!B13:B1013,"9")</f>
        <v>0</v>
      </c>
      <c r="P156" s="699">
        <f>SUMIFS('Payment Registry'!C13:C1013,'Payment Registry'!L13:L1013,"Kitchen - Maintenance: Ventilation",'Payment Registry'!B13:B1013,"10")</f>
        <v>0</v>
      </c>
      <c r="Q156" s="105">
        <f>SUMIFS('Payment Registry'!C13:C1013,'Payment Registry'!L13:L1013,"Kitchen - Maintenance: Ventilation",'Payment Registry'!B13:B1013,"11")</f>
        <v>0</v>
      </c>
      <c r="R156" s="699">
        <f>SUMIFS('Payment Registry'!C13:C1013,'Payment Registry'!L13:L1013,"Kitchen - Maintenance: Ventilation",'Payment Registry'!B13:B1013,"12")</f>
        <v>0</v>
      </c>
      <c r="S156" s="105">
        <f>SUMIFS('Payment Registry'!C13:C1013,'Payment Registry'!L13:L1013,"Kitchen - Maintenance: Ventilation",'Payment Registry'!B13:B1013,"1")</f>
        <v>0</v>
      </c>
      <c r="T156" s="699">
        <f>SUMIFS('Payment Registry'!C13:C1013,'Payment Registry'!L13:L1013,"Kitchen - Maintenance: Ventilation",'Payment Registry'!B13:B1013,"2")</f>
        <v>0</v>
      </c>
      <c r="U156" s="105">
        <f>SUMIFS('Payment Registry'!C13:C1013,'Payment Registry'!L13:L1013,"Kitchen - Maintenance: Ventilation",'Payment Registry'!B13:B1013,"3")</f>
        <v>0</v>
      </c>
      <c r="V156" s="699">
        <f>SUMIFS('Payment Registry'!C13:C1013,'Payment Registry'!L13:L1013,"Kitchen - Maintenance: Ventilation",'Payment Registry'!B13:B1013,"4")</f>
        <v>0</v>
      </c>
      <c r="W156" s="105">
        <f>SUMIFS('Payment Registry'!C13:C1013,'Payment Registry'!L13:L1013,"Kitchen - Maintenance: Ventilation",'Payment Registry'!B13:B1013,"5")</f>
        <v>0</v>
      </c>
      <c r="X156" s="699">
        <f>SUMIFS('Payment Registry'!C13:C1013,'Payment Registry'!L13:L1013,"Kitchen - Maintenance: Ventilation",'Payment Registry'!B13:B1013,"6")</f>
        <v>0</v>
      </c>
    </row>
    <row r="157" spans="1:24" x14ac:dyDescent="0.2">
      <c r="A157" s="295" t="s">
        <v>250</v>
      </c>
      <c r="B157" s="14">
        <f>IF('House-Kitchen Budget Worksheet'!A4="",0,IF('House-Kitchen Budget Worksheet'!A4="9 months",'House-Kitchen Budget Worksheet'!H69*5,IF('House-Kitchen Budget Worksheet'!A4="12 months",'House-Kitchen Budget Worksheet'!G69*6)))</f>
        <v>0</v>
      </c>
      <c r="C157" s="79">
        <f>IF('House-Kitchen Budget Worksheet'!A4="",0,IF('House-Kitchen Budget Worksheet'!A4="9 months",'House-Kitchen Budget Worksheet'!H69*4,IF('House-Kitchen Budget Worksheet'!A4="12 months",'House-Kitchen Budget Worksheet'!G69*6)))</f>
        <v>0</v>
      </c>
      <c r="D157" s="14">
        <f t="shared" si="100"/>
        <v>0</v>
      </c>
      <c r="F157" s="14">
        <f t="shared" si="101"/>
        <v>0</v>
      </c>
      <c r="G157" s="79">
        <f t="shared" si="102"/>
        <v>0</v>
      </c>
      <c r="H157" s="14">
        <f t="shared" si="103"/>
        <v>0</v>
      </c>
      <c r="J157" s="14">
        <f t="shared" si="104"/>
        <v>0</v>
      </c>
      <c r="K157" s="79">
        <f t="shared" si="104"/>
        <v>0</v>
      </c>
      <c r="L157" s="14">
        <f t="shared" si="105"/>
        <v>0</v>
      </c>
      <c r="M157" s="105">
        <f>SUMIFS('Payment Registry'!C13:C1013,'Payment Registry'!L13:L1013,"Kitchen - Maintenance: Other",'Payment Registry'!B13:B1013,"7")</f>
        <v>0</v>
      </c>
      <c r="N157" s="699">
        <f>SUMIFS('Payment Registry'!C13:C1013,'Payment Registry'!L13:L1013,"Kitchen - Maintenance: Other",'Payment Registry'!B13:B1013,"8")</f>
        <v>0</v>
      </c>
      <c r="O157" s="105">
        <f>SUMIFS('Payment Registry'!C13:C1013,'Payment Registry'!L13:L1013,"Kitchen - Maintenance: Other",'Payment Registry'!B13:B1013,"9")</f>
        <v>0</v>
      </c>
      <c r="P157" s="699">
        <f>SUMIFS('Payment Registry'!C13:C1013,'Payment Registry'!L13:L1013,"Kitchen - Maintenance: Other",'Payment Registry'!B13:B1013,"10")</f>
        <v>0</v>
      </c>
      <c r="Q157" s="105">
        <f>SUMIFS('Payment Registry'!C13:C1013,'Payment Registry'!L13:L1013,"Kitchen - Maintenance: Other",'Payment Registry'!B13:B1013,"11")</f>
        <v>0</v>
      </c>
      <c r="R157" s="699">
        <f>SUMIFS('Payment Registry'!C13:C1013,'Payment Registry'!L13:L1013,"Kitchen - Maintenance: Other",'Payment Registry'!B13:B1013,"12")</f>
        <v>0</v>
      </c>
      <c r="S157" s="105">
        <f>SUMIFS('Payment Registry'!C13:C1013,'Payment Registry'!L13:L1013,"Kitchen - Maintenance: Other",'Payment Registry'!B13:B1013,"1")</f>
        <v>0</v>
      </c>
      <c r="T157" s="699">
        <f>SUMIFS('Payment Registry'!C13:C1013,'Payment Registry'!L13:L1013,"Kitchen - Maintenance: Other",'Payment Registry'!B13:B1013,"2")</f>
        <v>0</v>
      </c>
      <c r="U157" s="105">
        <f>SUMIFS('Payment Registry'!C13:C1013,'Payment Registry'!L13:L1013,"Kitchen - Maintenance: Other",'Payment Registry'!B13:B1013,"3")</f>
        <v>0</v>
      </c>
      <c r="V157" s="699">
        <f>SUMIFS('Payment Registry'!C13:C1013,'Payment Registry'!L13:L1013,"Kitchen - Maintenance: Other",'Payment Registry'!B13:B1013,"4")</f>
        <v>0</v>
      </c>
      <c r="W157" s="105">
        <f>SUMIFS('Payment Registry'!C13:C1013,'Payment Registry'!L13:L1013,"Kitchen - Maintenance: Other",'Payment Registry'!B13:B1013,"5")</f>
        <v>0</v>
      </c>
      <c r="X157" s="699">
        <f>SUMIFS('Payment Registry'!C13:C1013,'Payment Registry'!L13:L1013,"Kitchen - Maintenance: Other",'Payment Registry'!B13:B1013,"6")</f>
        <v>0</v>
      </c>
    </row>
    <row r="158" spans="1:24" x14ac:dyDescent="0.2">
      <c r="A158" s="295" t="s">
        <v>267</v>
      </c>
      <c r="B158" s="14">
        <f>IF('House-Kitchen Budget Worksheet'!A4="",0,IF('House-Kitchen Budget Worksheet'!A4="9 months",'House-Kitchen Budget Worksheet'!H70*5,IF('House-Kitchen Budget Worksheet'!A4="12 months",'House-Kitchen Budget Worksheet'!G70*6)))</f>
        <v>0</v>
      </c>
      <c r="C158" s="79">
        <f>IF('House-Kitchen Budget Worksheet'!A4="",0,IF('House-Kitchen Budget Worksheet'!A4="9 months",'House-Kitchen Budget Worksheet'!H70*4,IF('House-Kitchen Budget Worksheet'!A4="12 months",'House-Kitchen Budget Worksheet'!G70*6)))</f>
        <v>0</v>
      </c>
      <c r="D158" s="14">
        <f t="shared" si="100"/>
        <v>0</v>
      </c>
      <c r="F158" s="14">
        <f t="shared" si="101"/>
        <v>0</v>
      </c>
      <c r="G158" s="79">
        <f t="shared" si="102"/>
        <v>0</v>
      </c>
      <c r="H158" s="14">
        <f t="shared" si="103"/>
        <v>0</v>
      </c>
      <c r="J158" s="14">
        <f t="shared" si="104"/>
        <v>0</v>
      </c>
      <c r="K158" s="79">
        <f t="shared" si="104"/>
        <v>0</v>
      </c>
      <c r="L158" s="14">
        <f t="shared" si="105"/>
        <v>0</v>
      </c>
      <c r="M158" s="105">
        <f>SUMIFS('Payment Registry'!C13:C1013,'Payment Registry'!L13:L1013,"Kitchen - Payroll - Cook",'Payment Registry'!B13:B1013,"7")</f>
        <v>0</v>
      </c>
      <c r="N158" s="699">
        <f>SUMIFS('Payment Registry'!C13:C1013,'Payment Registry'!L13:L1013,"Kitchen - Payroll - Cook",'Payment Registry'!B13:B1013,"8")</f>
        <v>0</v>
      </c>
      <c r="O158" s="105">
        <f>SUMIFS('Payment Registry'!C13:C1013,'Payment Registry'!L13:L1013,"Kitchen - Payroll - Cook",'Payment Registry'!B13:B1013,"9")</f>
        <v>0</v>
      </c>
      <c r="P158" s="699">
        <f>SUMIFS('Payment Registry'!C13:C1013,'Payment Registry'!L13:L1013,"Kitchen - Payroll - Cook",'Payment Registry'!B13:B1013,"10")</f>
        <v>0</v>
      </c>
      <c r="Q158" s="105">
        <f>SUMIFS('Payment Registry'!C13:C1013,'Payment Registry'!L13:L1013,"Kitchen - Payroll - Cook",'Payment Registry'!B13:B1013,"11")</f>
        <v>0</v>
      </c>
      <c r="R158" s="699">
        <f>SUMIFS('Payment Registry'!C13:C1013,'Payment Registry'!L13:L1013,"Kitchen - Payroll - Cook",'Payment Registry'!B13:B1013,"12")</f>
        <v>0</v>
      </c>
      <c r="S158" s="105">
        <f>SUMIFS('Payment Registry'!C13:C1013,'Payment Registry'!L13:L1013,"Kitchen - Payroll - Cook",'Payment Registry'!B13:B1013,"1")</f>
        <v>0</v>
      </c>
      <c r="T158" s="699">
        <f>SUMIFS('Payment Registry'!C13:C1013,'Payment Registry'!L13:L1013,"Kitchen - Payroll - Cook",'Payment Registry'!B13:B1013,"2")</f>
        <v>0</v>
      </c>
      <c r="U158" s="105">
        <f>SUMIFS('Payment Registry'!C13:C1013,'Payment Registry'!L13:L1013,"Kitchen - Payroll - Cook",'Payment Registry'!B13:B1013,"3")</f>
        <v>0</v>
      </c>
      <c r="V158" s="699">
        <f>SUMIFS('Payment Registry'!C13:C1013,'Payment Registry'!L13:L1013,"Kitchen - Payroll - Cook",'Payment Registry'!B13:B1013,"4")</f>
        <v>0</v>
      </c>
      <c r="W158" s="105">
        <f>SUMIFS('Payment Registry'!C13:C1013,'Payment Registry'!L13:L1013,"Kitchen - Payroll - Cook",'Payment Registry'!B13:B1013,"5")</f>
        <v>0</v>
      </c>
      <c r="X158" s="699">
        <f>SUMIFS('Payment Registry'!C13:C1013,'Payment Registry'!L13:L1013,"Kitchen - Payroll - Cook",'Payment Registry'!B13:B1013,"6")</f>
        <v>0</v>
      </c>
    </row>
    <row r="159" spans="1:24" x14ac:dyDescent="0.2">
      <c r="A159" s="295" t="s">
        <v>259</v>
      </c>
      <c r="B159" s="14">
        <f>IF('House-Kitchen Budget Worksheet'!A4="",0,IF('House-Kitchen Budget Worksheet'!A4="9 months",'House-Kitchen Budget Worksheet'!H71*5,IF('House-Kitchen Budget Worksheet'!A4="12 months",'House-Kitchen Budget Worksheet'!G71*6)))</f>
        <v>0</v>
      </c>
      <c r="C159" s="79">
        <f>IF('House-Kitchen Budget Worksheet'!A4="",0,IF('House-Kitchen Budget Worksheet'!A4="9 months",'House-Kitchen Budget Worksheet'!H71*4,IF('House-Kitchen Budget Worksheet'!A4="12 months",'House-Kitchen Budget Worksheet'!G71*6)))</f>
        <v>0</v>
      </c>
      <c r="D159" s="14">
        <f t="shared" si="100"/>
        <v>0</v>
      </c>
      <c r="F159" s="14">
        <f t="shared" si="101"/>
        <v>0</v>
      </c>
      <c r="G159" s="79">
        <f t="shared" si="102"/>
        <v>0</v>
      </c>
      <c r="H159" s="14">
        <f t="shared" si="103"/>
        <v>0</v>
      </c>
      <c r="J159" s="14">
        <f t="shared" si="104"/>
        <v>0</v>
      </c>
      <c r="K159" s="79">
        <f t="shared" si="104"/>
        <v>0</v>
      </c>
      <c r="L159" s="14">
        <f t="shared" si="105"/>
        <v>0</v>
      </c>
      <c r="M159" s="105">
        <f>SUMIFS('Payment Registry'!C13:C1013,'Payment Registry'!L13:L1013,"Kitchen - Payroll - Taxes",'Payment Registry'!B13:B1013,"7")</f>
        <v>0</v>
      </c>
      <c r="N159" s="699">
        <f>SUMIFS('Payment Registry'!C13:C1013,'Payment Registry'!L13:L1013,"Kitchen - Payroll - Taxes",'Payment Registry'!B13:B1013,"8")</f>
        <v>0</v>
      </c>
      <c r="O159" s="105">
        <f>SUMIFS('Payment Registry'!C13:C1013,'Payment Registry'!L13:L1013,"Kitchen - Payroll - Taxes",'Payment Registry'!B13:B1013,"9")</f>
        <v>0</v>
      </c>
      <c r="P159" s="699">
        <f>SUMIFS('Payment Registry'!C13:C1013,'Payment Registry'!L13:L1013,"Kitchen - Payroll - Taxes",'Payment Registry'!B13:B1013,"10")</f>
        <v>0</v>
      </c>
      <c r="Q159" s="105">
        <f>SUMIFS('Payment Registry'!C13:C1013,'Payment Registry'!L13:L1013,"Kitchen - Payroll - Taxes",'Payment Registry'!B13:B1013,"11")</f>
        <v>0</v>
      </c>
      <c r="R159" s="699">
        <f>SUMIFS('Payment Registry'!C13:C1013,'Payment Registry'!L13:L1013,"Kitchen - Payroll - Taxes",'Payment Registry'!B13:B1013,"12")</f>
        <v>0</v>
      </c>
      <c r="S159" s="105">
        <f>SUMIFS('Payment Registry'!C13:C1013,'Payment Registry'!L13:L1013,"Kitchen - Payroll - Taxes",'Payment Registry'!B13:B1013,"1")</f>
        <v>0</v>
      </c>
      <c r="T159" s="699">
        <f>SUMIFS('Payment Registry'!C13:C1013,'Payment Registry'!L13:L1013,"Kitchen - Payroll - Taxes",'Payment Registry'!B13:B1013,"2")</f>
        <v>0</v>
      </c>
      <c r="U159" s="105">
        <f>SUMIFS('Payment Registry'!C13:C1013,'Payment Registry'!L13:L1013,"Kitchen - Payroll - Taxes",'Payment Registry'!B13:B1013,"3")</f>
        <v>0</v>
      </c>
      <c r="V159" s="699">
        <f>SUMIFS('Payment Registry'!C13:C1013,'Payment Registry'!L13:L1013,"Kitchen - Payroll - Taxes",'Payment Registry'!B13:B1013,"4")</f>
        <v>0</v>
      </c>
      <c r="W159" s="105">
        <f>SUMIFS('Payment Registry'!C13:C1013,'Payment Registry'!L13:L1013,"Kitchen - Payroll - Taxes",'Payment Registry'!B13:B1013,"5")</f>
        <v>0</v>
      </c>
      <c r="X159" s="699">
        <f>SUMIFS('Payment Registry'!C13:C1013,'Payment Registry'!L13:L1013,"Kitchen - Payroll - Taxes",'Payment Registry'!B13:B1013,"6")</f>
        <v>0</v>
      </c>
    </row>
    <row r="160" spans="1:24" x14ac:dyDescent="0.2">
      <c r="A160" s="295" t="s">
        <v>260</v>
      </c>
      <c r="B160" s="14">
        <f>IF('House-Kitchen Budget Worksheet'!A4="",0,IF('House-Kitchen Budget Worksheet'!A4="9 months",'House-Kitchen Budget Worksheet'!H72*5,IF('House-Kitchen Budget Worksheet'!A4="12 months",'House-Kitchen Budget Worksheet'!G72*6)))</f>
        <v>0</v>
      </c>
      <c r="C160" s="79">
        <f>IF('House-Kitchen Budget Worksheet'!A4="",0,IF('House-Kitchen Budget Worksheet'!A4="9 months",'House-Kitchen Budget Worksheet'!H72*4,IF('House-Kitchen Budget Worksheet'!A4="12 months",'House-Kitchen Budget Worksheet'!G72*6)))</f>
        <v>0</v>
      </c>
      <c r="D160" s="14">
        <f t="shared" si="100"/>
        <v>0</v>
      </c>
      <c r="F160" s="14">
        <f t="shared" si="101"/>
        <v>0</v>
      </c>
      <c r="G160" s="79">
        <f t="shared" si="102"/>
        <v>0</v>
      </c>
      <c r="H160" s="14">
        <f t="shared" si="103"/>
        <v>0</v>
      </c>
      <c r="J160" s="14">
        <f t="shared" si="104"/>
        <v>0</v>
      </c>
      <c r="K160" s="79">
        <f t="shared" si="104"/>
        <v>0</v>
      </c>
      <c r="L160" s="14">
        <f t="shared" si="105"/>
        <v>0</v>
      </c>
      <c r="M160" s="105">
        <f>SUMIFS('Payment Registry'!C13:C1013,'Payment Registry'!L13:L1013,"Kitchen - Employee Benefits",'Payment Registry'!B13:B1013,"7")</f>
        <v>0</v>
      </c>
      <c r="N160" s="699">
        <f>SUMIFS('Payment Registry'!C13:C1013,'Payment Registry'!L13:L1013,"Kitchen - Employee Benefits",'Payment Registry'!B13:B1013,"8")</f>
        <v>0</v>
      </c>
      <c r="O160" s="105">
        <f>SUMIFS('Payment Registry'!C13:C1013,'Payment Registry'!L13:L1013,"Kitchen - Employee Benefits",'Payment Registry'!B13:B1013,"9")</f>
        <v>0</v>
      </c>
      <c r="P160" s="699">
        <f>SUMIFS('Payment Registry'!C13:C1013,'Payment Registry'!L13:L1013,"Kitchen - Employee Benefits",'Payment Registry'!B13:B1013,"10")</f>
        <v>0</v>
      </c>
      <c r="Q160" s="105">
        <f>SUMIFS('Payment Registry'!C13:C1013,'Payment Registry'!L13:L1013,"Kitchen - Employee Benefits",'Payment Registry'!B13:B1013,"11")</f>
        <v>0</v>
      </c>
      <c r="R160" s="699">
        <f>SUMIFS('Payment Registry'!C13:C1013,'Payment Registry'!L13:L1013,"Kitchen - Employee Benefits",'Payment Registry'!B13:B1013,"12")</f>
        <v>0</v>
      </c>
      <c r="S160" s="105">
        <f>SUMIFS('Payment Registry'!C13:C1013,'Payment Registry'!L13:L1013,"Kitchen - Employee Benefits",'Payment Registry'!B13:B1013,"1")</f>
        <v>0</v>
      </c>
      <c r="T160" s="699">
        <f>SUMIFS('Payment Registry'!C13:C1013,'Payment Registry'!L13:L1013,"Kitchen - Employee Benefits",'Payment Registry'!B13:B1013,"2")</f>
        <v>0</v>
      </c>
      <c r="U160" s="105">
        <f>SUMIFS('Payment Registry'!C13:C1013,'Payment Registry'!L13:L1013,"Kitchen - Employee Benefits",'Payment Registry'!B13:B1013,"3")</f>
        <v>0</v>
      </c>
      <c r="V160" s="699">
        <f>SUMIFS('Payment Registry'!C13:C1013,'Payment Registry'!L13:L1013,"Kitchen - Employee Benefits",'Payment Registry'!B13:B1013,"4")</f>
        <v>0</v>
      </c>
      <c r="W160" s="105">
        <f>SUMIFS('Payment Registry'!C13:C1013,'Payment Registry'!L13:L1013,"Kitchen - Employee Benefits",'Payment Registry'!B13:B1013,"5")</f>
        <v>0</v>
      </c>
      <c r="X160" s="699">
        <f>SUMIFS('Payment Registry'!C13:C1013,'Payment Registry'!L13:L1013,"Kitchen - Employee Benefits",'Payment Registry'!B13:B1013,"6")</f>
        <v>0</v>
      </c>
    </row>
    <row r="161" spans="1:24" ht="15" x14ac:dyDescent="0.35">
      <c r="A161" s="295" t="s">
        <v>79</v>
      </c>
      <c r="B161" s="81">
        <f>IF('House-Kitchen Budget Worksheet'!A4="",0,IF('House-Kitchen Budget Worksheet'!A4="9 months",'House-Kitchen Budget Worksheet'!H73*5,IF('House-Kitchen Budget Worksheet'!A4="12 months",'House-Kitchen Budget Worksheet'!G73*6)))</f>
        <v>0</v>
      </c>
      <c r="C161" s="310">
        <f>IF('House-Kitchen Budget Worksheet'!A4="",0,IF('House-Kitchen Budget Worksheet'!A4="9 months",'House-Kitchen Budget Worksheet'!H73*4,IF('House-Kitchen Budget Worksheet'!A4="12 months",'House-Kitchen Budget Worksheet'!G73*6)))</f>
        <v>0</v>
      </c>
      <c r="D161" s="81">
        <f t="shared" si="100"/>
        <v>0</v>
      </c>
      <c r="E161" s="124"/>
      <c r="F161" s="81">
        <f t="shared" si="101"/>
        <v>0</v>
      </c>
      <c r="G161" s="310">
        <f t="shared" si="102"/>
        <v>0</v>
      </c>
      <c r="H161" s="81">
        <f t="shared" si="103"/>
        <v>0</v>
      </c>
      <c r="I161" s="124"/>
      <c r="J161" s="81">
        <f t="shared" si="104"/>
        <v>0</v>
      </c>
      <c r="K161" s="310">
        <f t="shared" si="104"/>
        <v>0</v>
      </c>
      <c r="L161" s="81">
        <f t="shared" si="105"/>
        <v>0</v>
      </c>
      <c r="M161" s="111">
        <f>SUMIFS('Payment Registry'!C13:C1013,'Payment Registry'!L13:L1013,"Kitchen - Miscellaneous",'Payment Registry'!B13:B1013,"7")</f>
        <v>0</v>
      </c>
      <c r="N161" s="700">
        <f>SUMIFS('Payment Registry'!C13:C1013,'Payment Registry'!L13:L1013,"Kitchen - Miscellaneous",'Payment Registry'!B13:B1013,"8")</f>
        <v>0</v>
      </c>
      <c r="O161" s="111">
        <f>SUMIFS('Payment Registry'!C13:C1013,'Payment Registry'!L13:L1013,"Kitchen - Miscellaneous",'Payment Registry'!B13:B1013,"9")</f>
        <v>0</v>
      </c>
      <c r="P161" s="700">
        <f>SUMIFS('Payment Registry'!C13:C1013,'Payment Registry'!L13:L1013,"Kitchen - Miscellaneous",'Payment Registry'!B13:B1013,"10")</f>
        <v>0</v>
      </c>
      <c r="Q161" s="111">
        <f>SUMIFS('Payment Registry'!C13:C1013,'Payment Registry'!L13:L1013,"Kitchen - Miscellaneous",'Payment Registry'!B13:B1013,"11")</f>
        <v>0</v>
      </c>
      <c r="R161" s="700">
        <f>SUMIFS('Payment Registry'!C13:C1013,'Payment Registry'!L13:L1013,"Kitchen - Miscellaneous",'Payment Registry'!B13:B1013,"12")</f>
        <v>0</v>
      </c>
      <c r="S161" s="111">
        <f>SUMIFS('Payment Registry'!C13:C1013,'Payment Registry'!L13:L1013,"Kitchen - Miscellaneous",'Payment Registry'!B13:B1013,"1")</f>
        <v>0</v>
      </c>
      <c r="T161" s="700">
        <f>SUMIFS('Payment Registry'!C13:C1013,'Payment Registry'!L13:L1013,"Kitchen - Miscellaneous",'Payment Registry'!B13:B1013,"2")</f>
        <v>0</v>
      </c>
      <c r="U161" s="111">
        <f>SUMIFS('Payment Registry'!C13:C1013,'Payment Registry'!L13:L1013,"Kitchen - Miscellaneous",'Payment Registry'!B13:B1013,"3")</f>
        <v>0</v>
      </c>
      <c r="V161" s="700">
        <f>SUMIFS('Payment Registry'!C13:C1013,'Payment Registry'!L13:L1013,"Kitchen - Miscellaneous",'Payment Registry'!B13:B1013,"4")</f>
        <v>0</v>
      </c>
      <c r="W161" s="111">
        <f>SUMIFS('Payment Registry'!C13:C1013,'Payment Registry'!L13:L1013,"Kitchen - Miscellaneous",'Payment Registry'!B13:B1013,"5")</f>
        <v>0</v>
      </c>
      <c r="X161" s="700">
        <f>SUMIFS('Payment Registry'!C13:C1013,'Payment Registry'!L13:L1013,"Kitchen - Miscellaneous",'Payment Registry'!B13:B1013,"6")</f>
        <v>0</v>
      </c>
    </row>
    <row r="162" spans="1:24" x14ac:dyDescent="0.2">
      <c r="A162" s="295"/>
      <c r="C162" s="119"/>
      <c r="G162" s="119"/>
      <c r="K162" s="119"/>
      <c r="M162" s="105"/>
      <c r="N162" s="699"/>
      <c r="O162" s="105"/>
      <c r="P162" s="699"/>
      <c r="Q162" s="105"/>
      <c r="R162" s="699"/>
      <c r="S162" s="105"/>
      <c r="T162" s="699"/>
      <c r="U162" s="105"/>
      <c r="V162" s="699"/>
      <c r="W162" s="105"/>
      <c r="X162" s="699"/>
    </row>
    <row r="163" spans="1:24" ht="31.5" x14ac:dyDescent="0.55000000000000004">
      <c r="A163" s="294" t="s">
        <v>345</v>
      </c>
      <c r="B163" s="134">
        <f>SUM(B148:B161)</f>
        <v>0</v>
      </c>
      <c r="C163" s="135">
        <f>SUM(C148:C161)</f>
        <v>0</v>
      </c>
      <c r="D163" s="134">
        <f>SUM(B163:C163)</f>
        <v>0</v>
      </c>
      <c r="F163" s="134">
        <f t="shared" ref="F163:H163" si="106">SUM(F148:F161)</f>
        <v>0</v>
      </c>
      <c r="G163" s="135">
        <f t="shared" si="106"/>
        <v>0</v>
      </c>
      <c r="H163" s="134">
        <f t="shared" si="106"/>
        <v>0</v>
      </c>
      <c r="J163" s="134">
        <f t="shared" ref="J163:L163" si="107">SUM(J148:J161)</f>
        <v>0</v>
      </c>
      <c r="K163" s="135">
        <f t="shared" si="107"/>
        <v>0</v>
      </c>
      <c r="L163" s="134">
        <f t="shared" si="107"/>
        <v>0</v>
      </c>
      <c r="M163" s="135">
        <f t="shared" ref="M163:X163" si="108">SUM(M148:M161)</f>
        <v>0</v>
      </c>
      <c r="N163" s="701">
        <f t="shared" si="108"/>
        <v>0</v>
      </c>
      <c r="O163" s="135">
        <f t="shared" si="108"/>
        <v>0</v>
      </c>
      <c r="P163" s="701">
        <f t="shared" si="108"/>
        <v>0</v>
      </c>
      <c r="Q163" s="135">
        <f t="shared" si="108"/>
        <v>0</v>
      </c>
      <c r="R163" s="701">
        <f t="shared" si="108"/>
        <v>0</v>
      </c>
      <c r="S163" s="135">
        <f t="shared" si="108"/>
        <v>0</v>
      </c>
      <c r="T163" s="701">
        <f t="shared" si="108"/>
        <v>0</v>
      </c>
      <c r="U163" s="135">
        <f t="shared" si="108"/>
        <v>0</v>
      </c>
      <c r="V163" s="701">
        <f t="shared" si="108"/>
        <v>0</v>
      </c>
      <c r="W163" s="135">
        <f t="shared" si="108"/>
        <v>0</v>
      </c>
      <c r="X163" s="701">
        <f t="shared" si="108"/>
        <v>0</v>
      </c>
    </row>
    <row r="164" spans="1:24" ht="13.5" thickBot="1" x14ac:dyDescent="0.25">
      <c r="A164" s="295"/>
      <c r="C164" s="119"/>
      <c r="G164" s="119"/>
      <c r="K164" s="119"/>
      <c r="M164" s="105"/>
      <c r="N164" s="699"/>
      <c r="O164" s="105"/>
      <c r="P164" s="699"/>
      <c r="Q164" s="105"/>
      <c r="R164" s="699"/>
      <c r="S164" s="105"/>
      <c r="T164" s="699"/>
      <c r="U164" s="105"/>
      <c r="V164" s="699"/>
      <c r="W164" s="105"/>
      <c r="X164" s="699"/>
    </row>
    <row r="165" spans="1:24" ht="32.25" thickBot="1" x14ac:dyDescent="0.45">
      <c r="A165" s="400" t="s">
        <v>317</v>
      </c>
      <c r="B165" s="631">
        <f>B49-B163</f>
        <v>0</v>
      </c>
      <c r="C165" s="632">
        <f>C49-C163</f>
        <v>0</v>
      </c>
      <c r="D165" s="633">
        <f>D49-D163</f>
        <v>0</v>
      </c>
      <c r="E165" s="634"/>
      <c r="F165" s="633">
        <f>F49-F163</f>
        <v>0</v>
      </c>
      <c r="G165" s="632">
        <f>G49-G163</f>
        <v>0</v>
      </c>
      <c r="H165" s="633">
        <f>H49-H163</f>
        <v>0</v>
      </c>
      <c r="I165" s="634"/>
      <c r="J165" s="633">
        <f t="shared" ref="J165:X165" si="109">J49-J163</f>
        <v>0</v>
      </c>
      <c r="K165" s="632">
        <f t="shared" si="109"/>
        <v>0</v>
      </c>
      <c r="L165" s="633">
        <f t="shared" si="109"/>
        <v>0</v>
      </c>
      <c r="M165" s="632">
        <f t="shared" si="109"/>
        <v>0</v>
      </c>
      <c r="N165" s="703">
        <f t="shared" si="109"/>
        <v>0</v>
      </c>
      <c r="O165" s="632">
        <f t="shared" si="109"/>
        <v>0</v>
      </c>
      <c r="P165" s="703">
        <f t="shared" si="109"/>
        <v>0</v>
      </c>
      <c r="Q165" s="632">
        <f t="shared" si="109"/>
        <v>0</v>
      </c>
      <c r="R165" s="703">
        <f t="shared" si="109"/>
        <v>0</v>
      </c>
      <c r="S165" s="632">
        <f t="shared" si="109"/>
        <v>0</v>
      </c>
      <c r="T165" s="703">
        <f t="shared" si="109"/>
        <v>0</v>
      </c>
      <c r="U165" s="632">
        <f t="shared" si="109"/>
        <v>0</v>
      </c>
      <c r="V165" s="703">
        <f t="shared" si="109"/>
        <v>0</v>
      </c>
      <c r="W165" s="632">
        <f t="shared" si="109"/>
        <v>0</v>
      </c>
      <c r="X165" s="707">
        <f t="shared" si="109"/>
        <v>0</v>
      </c>
    </row>
    <row r="166" spans="1:24" ht="13.5" thickBot="1" x14ac:dyDescent="0.25">
      <c r="C166" s="119"/>
      <c r="G166" s="119"/>
      <c r="K166" s="119"/>
      <c r="M166" s="105"/>
      <c r="N166" s="699"/>
      <c r="O166" s="105"/>
      <c r="P166" s="699"/>
      <c r="Q166" s="105"/>
      <c r="R166" s="699"/>
      <c r="S166" s="105"/>
      <c r="T166" s="699"/>
      <c r="U166" s="105"/>
      <c r="V166" s="699"/>
      <c r="W166" s="105"/>
      <c r="X166" s="699"/>
    </row>
    <row r="167" spans="1:24" s="120" customFormat="1" ht="15.75" x14ac:dyDescent="0.25">
      <c r="A167" s="299" t="s">
        <v>44</v>
      </c>
      <c r="B167" s="300">
        <f>B20+B37+B49</f>
        <v>0</v>
      </c>
      <c r="C167" s="307">
        <f>C20+C37+C49</f>
        <v>0</v>
      </c>
      <c r="D167" s="300">
        <f>SUM(B167:C167)</f>
        <v>0</v>
      </c>
      <c r="E167" s="297"/>
      <c r="F167" s="447">
        <f>F20+F37+F49</f>
        <v>0</v>
      </c>
      <c r="G167" s="307">
        <f>G20+G37+G49</f>
        <v>0</v>
      </c>
      <c r="H167" s="448">
        <f t="shared" ref="H167:H168" si="110">SUM(F167:G167)</f>
        <v>0</v>
      </c>
      <c r="I167" s="297"/>
      <c r="J167" s="447">
        <f>F167-B167</f>
        <v>0</v>
      </c>
      <c r="K167" s="307">
        <f>G167-C167</f>
        <v>0</v>
      </c>
      <c r="L167" s="448">
        <f>SUM(J167:K167)</f>
        <v>0</v>
      </c>
      <c r="M167" s="456">
        <f t="shared" ref="M167:X167" si="111">M20+M37+M49</f>
        <v>0</v>
      </c>
      <c r="N167" s="457">
        <f t="shared" si="111"/>
        <v>0</v>
      </c>
      <c r="O167" s="457">
        <f t="shared" si="111"/>
        <v>0</v>
      </c>
      <c r="P167" s="457">
        <f t="shared" si="111"/>
        <v>0</v>
      </c>
      <c r="Q167" s="457">
        <f t="shared" si="111"/>
        <v>0</v>
      </c>
      <c r="R167" s="457">
        <f t="shared" si="111"/>
        <v>0</v>
      </c>
      <c r="S167" s="457">
        <f t="shared" si="111"/>
        <v>0</v>
      </c>
      <c r="T167" s="457">
        <f t="shared" si="111"/>
        <v>0</v>
      </c>
      <c r="U167" s="457">
        <f t="shared" si="111"/>
        <v>0</v>
      </c>
      <c r="V167" s="457">
        <f t="shared" si="111"/>
        <v>0</v>
      </c>
      <c r="W167" s="457">
        <f t="shared" si="111"/>
        <v>0</v>
      </c>
      <c r="X167" s="458">
        <f t="shared" si="111"/>
        <v>0</v>
      </c>
    </row>
    <row r="168" spans="1:24" s="120" customFormat="1" ht="20.25" x14ac:dyDescent="0.55000000000000004">
      <c r="A168" s="301" t="s">
        <v>78</v>
      </c>
      <c r="B168" s="302">
        <f>B107+B143+B163</f>
        <v>1400</v>
      </c>
      <c r="C168" s="279">
        <f>C107+C143+C163</f>
        <v>1400</v>
      </c>
      <c r="D168" s="302">
        <f>SUM(B168:C168)</f>
        <v>2800</v>
      </c>
      <c r="E168" s="298"/>
      <c r="F168" s="449">
        <f>F107+F143+F163</f>
        <v>0</v>
      </c>
      <c r="G168" s="279">
        <f>G107+G143+G163</f>
        <v>0</v>
      </c>
      <c r="H168" s="450">
        <f t="shared" si="110"/>
        <v>0</v>
      </c>
      <c r="I168" s="298"/>
      <c r="J168" s="459">
        <f>F168-B168</f>
        <v>-1400</v>
      </c>
      <c r="K168" s="460">
        <f>G168-C168</f>
        <v>-1400</v>
      </c>
      <c r="L168" s="464">
        <f>SUM(J168:K168)</f>
        <v>-2800</v>
      </c>
      <c r="M168" s="459">
        <f t="shared" ref="M168:X168" si="112">M107+M143+M163</f>
        <v>0</v>
      </c>
      <c r="N168" s="460">
        <f t="shared" si="112"/>
        <v>0</v>
      </c>
      <c r="O168" s="460">
        <f t="shared" si="112"/>
        <v>0</v>
      </c>
      <c r="P168" s="460">
        <f t="shared" si="112"/>
        <v>0</v>
      </c>
      <c r="Q168" s="460">
        <f t="shared" si="112"/>
        <v>0</v>
      </c>
      <c r="R168" s="460">
        <f t="shared" si="112"/>
        <v>0</v>
      </c>
      <c r="S168" s="460">
        <f t="shared" si="112"/>
        <v>0</v>
      </c>
      <c r="T168" s="460">
        <f t="shared" si="112"/>
        <v>0</v>
      </c>
      <c r="U168" s="460">
        <f t="shared" si="112"/>
        <v>0</v>
      </c>
      <c r="V168" s="460">
        <f t="shared" si="112"/>
        <v>0</v>
      </c>
      <c r="W168" s="460">
        <f t="shared" si="112"/>
        <v>0</v>
      </c>
      <c r="X168" s="464">
        <f t="shared" si="112"/>
        <v>0</v>
      </c>
    </row>
    <row r="169" spans="1:24" ht="13.5" x14ac:dyDescent="0.25">
      <c r="A169" s="303"/>
      <c r="B169" s="304"/>
      <c r="C169" s="308"/>
      <c r="D169" s="304"/>
      <c r="E169" s="41"/>
      <c r="F169" s="451"/>
      <c r="G169" s="452"/>
      <c r="H169" s="453"/>
      <c r="I169" s="41"/>
      <c r="J169" s="461"/>
      <c r="K169" s="462"/>
      <c r="L169" s="463"/>
      <c r="M169" s="465"/>
      <c r="N169" s="466"/>
      <c r="O169" s="466"/>
      <c r="P169" s="466"/>
      <c r="Q169" s="466"/>
      <c r="R169" s="466"/>
      <c r="S169" s="466"/>
      <c r="T169" s="466"/>
      <c r="U169" s="466"/>
      <c r="V169" s="466"/>
      <c r="W169" s="466"/>
      <c r="X169" s="467"/>
    </row>
    <row r="170" spans="1:24" ht="16.5" thickBot="1" x14ac:dyDescent="0.3">
      <c r="A170" s="305" t="s">
        <v>321</v>
      </c>
      <c r="B170" s="306">
        <f>B109+B145+B165</f>
        <v>-1400</v>
      </c>
      <c r="C170" s="309">
        <f>C109+C145+C165</f>
        <v>-1400</v>
      </c>
      <c r="D170" s="306">
        <f>D109+D145+D165</f>
        <v>-2800</v>
      </c>
      <c r="E170" s="168"/>
      <c r="F170" s="454">
        <f>F109+F145+F165</f>
        <v>0</v>
      </c>
      <c r="G170" s="309">
        <f>G109+G145+G165</f>
        <v>0</v>
      </c>
      <c r="H170" s="455">
        <f>H109+H145+H165</f>
        <v>0</v>
      </c>
      <c r="I170" s="168"/>
      <c r="J170" s="454">
        <f t="shared" ref="J170:X170" si="113">J109+J145+J165</f>
        <v>1400</v>
      </c>
      <c r="K170" s="309">
        <f t="shared" si="113"/>
        <v>1400</v>
      </c>
      <c r="L170" s="455">
        <f t="shared" si="113"/>
        <v>2800</v>
      </c>
      <c r="M170" s="454">
        <f t="shared" si="113"/>
        <v>0</v>
      </c>
      <c r="N170" s="309">
        <f t="shared" si="113"/>
        <v>0</v>
      </c>
      <c r="O170" s="309">
        <f t="shared" si="113"/>
        <v>0</v>
      </c>
      <c r="P170" s="309">
        <f t="shared" si="113"/>
        <v>0</v>
      </c>
      <c r="Q170" s="309">
        <f t="shared" si="113"/>
        <v>0</v>
      </c>
      <c r="R170" s="309">
        <f t="shared" si="113"/>
        <v>0</v>
      </c>
      <c r="S170" s="309">
        <f t="shared" si="113"/>
        <v>0</v>
      </c>
      <c r="T170" s="309">
        <f t="shared" si="113"/>
        <v>0</v>
      </c>
      <c r="U170" s="309">
        <f t="shared" si="113"/>
        <v>0</v>
      </c>
      <c r="V170" s="309">
        <f t="shared" si="113"/>
        <v>0</v>
      </c>
      <c r="W170" s="309">
        <f t="shared" si="113"/>
        <v>0</v>
      </c>
      <c r="X170" s="455">
        <f t="shared" si="113"/>
        <v>0</v>
      </c>
    </row>
    <row r="171" spans="1:24" x14ac:dyDescent="0.2">
      <c r="B171" s="14"/>
      <c r="C171" s="14"/>
      <c r="D171" s="14"/>
    </row>
  </sheetData>
  <sheetProtection algorithmName="SHA-512" hashValue="+OvaAAHfSe+Oh50Vnev5SQxfeFblfCrMiZfvwA1rVtaTjzJjG4XyDKbh/qQdZ28oDqfnz6G0IbJ/co6Os9h1Vw==" saltValue="g4IKNtaXizz6SBtO0i4JHw==" spinCount="100000" sheet="1" objects="1" scenarios="1" formatColumns="0"/>
  <mergeCells count="11">
    <mergeCell ref="S1:X1"/>
    <mergeCell ref="A39:A40"/>
    <mergeCell ref="C39:C40"/>
    <mergeCell ref="A1:A2"/>
    <mergeCell ref="B1:D1"/>
    <mergeCell ref="F1:H1"/>
    <mergeCell ref="J1:L1"/>
    <mergeCell ref="C3:C4"/>
    <mergeCell ref="A22:A23"/>
    <mergeCell ref="C22:C23"/>
    <mergeCell ref="M1:R1"/>
  </mergeCells>
  <dataValidations count="1">
    <dataValidation type="list" showInputMessage="1" showErrorMessage="1" error="You must select either the budgeted or actual surplus/(deficit) for a beginning balance" prompt="Select whether to use the budgeted or actual surplus/(deficit) of the fall term for the beginning balance of the spring term" sqref="C3:C4 C22:C23 C39:C40" xr:uid="{00000000-0002-0000-0500-000000000000}">
      <formula1>$AA$3:$AA$4</formula1>
    </dataValidation>
  </dataValidations>
  <pageMargins left="0.5" right="0.5" top="0.5" bottom="0.5" header="0.5" footer="0.5"/>
  <pageSetup paperSize="9" scale="65" fitToWidth="0" orientation="landscape" r:id="rId1"/>
  <rowBreaks count="3" manualBreakCount="3">
    <brk id="50" max="24" man="1"/>
    <brk id="109" max="24" man="1"/>
    <brk id="165" max="24" man="1"/>
  </rowBreaks>
  <colBreaks count="2" manualBreakCount="2">
    <brk id="12" max="172" man="1"/>
    <brk id="18" max="172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06"/>
  <sheetViews>
    <sheetView showGridLines="0" zoomScaleNormal="100" workbookViewId="0">
      <pane xSplit="4" ySplit="6" topLeftCell="E13" activePane="bottomRight" state="frozen"/>
      <selection pane="topRight" activeCell="E1" sqref="E1"/>
      <selection pane="bottomLeft" activeCell="A12" sqref="A12"/>
      <selection pane="bottomRight" activeCell="F23" sqref="F23"/>
    </sheetView>
  </sheetViews>
  <sheetFormatPr defaultColWidth="9.140625" defaultRowHeight="12.75" x14ac:dyDescent="0.2"/>
  <cols>
    <col min="1" max="1" width="3.5703125" style="8" bestFit="1" customWidth="1"/>
    <col min="2" max="2" width="11.5703125" style="8" customWidth="1"/>
    <col min="3" max="3" width="11.42578125" style="8" customWidth="1"/>
    <col min="4" max="4" width="13.5703125" style="7" customWidth="1"/>
    <col min="5" max="5" width="9.140625" style="158"/>
    <col min="6" max="6" width="9.140625" style="7"/>
    <col min="7" max="7" width="9.140625" style="8"/>
    <col min="8" max="8" width="1.85546875" style="8" hidden="1" customWidth="1"/>
    <col min="9" max="9" width="9.140625" style="8"/>
    <col min="10" max="10" width="0.5703125" style="41" customWidth="1"/>
    <col min="11" max="11" width="9.140625" style="158"/>
    <col min="12" max="13" width="9.140625" style="8"/>
    <col min="14" max="14" width="1.85546875" style="8" hidden="1" customWidth="1"/>
    <col min="15" max="16" width="9.140625" style="7"/>
    <col min="17" max="28" width="9.140625" style="8"/>
    <col min="29" max="29" width="0" style="8" hidden="1" customWidth="1"/>
    <col min="30" max="16384" width="9.140625" style="8"/>
  </cols>
  <sheetData>
    <row r="1" spans="1:29" ht="15" customHeight="1" x14ac:dyDescent="0.2">
      <c r="A1" s="1073"/>
      <c r="B1" s="1073"/>
      <c r="C1" s="1073"/>
      <c r="D1" s="1073"/>
      <c r="E1" s="1076" t="s">
        <v>190</v>
      </c>
      <c r="F1" s="1076"/>
      <c r="G1" s="1076"/>
      <c r="H1" s="1076"/>
      <c r="I1" s="1076"/>
      <c r="K1" s="1078" t="s">
        <v>191</v>
      </c>
      <c r="L1" s="1078"/>
      <c r="M1" s="1078"/>
      <c r="N1" s="1078"/>
      <c r="O1" s="1078"/>
      <c r="P1" s="1078"/>
    </row>
    <row r="2" spans="1:29" ht="12.75" customHeight="1" x14ac:dyDescent="0.2">
      <c r="A2" s="1073"/>
      <c r="B2" s="1073"/>
      <c r="C2" s="1073"/>
      <c r="D2" s="1073"/>
      <c r="E2" s="1076"/>
      <c r="F2" s="1076"/>
      <c r="G2" s="1076"/>
      <c r="H2" s="1076"/>
      <c r="I2" s="1076"/>
      <c r="K2" s="1078"/>
      <c r="L2" s="1078"/>
      <c r="M2" s="1078"/>
      <c r="N2" s="1078"/>
      <c r="O2" s="1078"/>
      <c r="P2" s="1078"/>
      <c r="AC2" s="8" t="s">
        <v>187</v>
      </c>
    </row>
    <row r="3" spans="1:29" x14ac:dyDescent="0.2">
      <c r="A3" s="1073"/>
      <c r="B3" s="1073"/>
      <c r="C3" s="1073"/>
      <c r="D3" s="1073"/>
      <c r="E3" s="177"/>
      <c r="F3" s="1074" t="s">
        <v>193</v>
      </c>
      <c r="G3" s="1074"/>
      <c r="H3" s="156"/>
      <c r="I3" s="178"/>
      <c r="K3" s="177"/>
      <c r="L3" s="1074" t="s">
        <v>193</v>
      </c>
      <c r="M3" s="1074"/>
      <c r="N3" s="1074"/>
      <c r="O3" s="1074"/>
      <c r="P3" s="23"/>
      <c r="AC3" s="8" t="s">
        <v>199</v>
      </c>
    </row>
    <row r="4" spans="1:29" x14ac:dyDescent="0.2">
      <c r="A4" s="1073"/>
      <c r="B4" s="1073"/>
      <c r="C4" s="1073"/>
      <c r="D4" s="1073"/>
      <c r="E4" s="177"/>
      <c r="F4" s="1075">
        <f>SUMIF(F7:F306,"No",E7:E306)</f>
        <v>0</v>
      </c>
      <c r="G4" s="1075"/>
      <c r="H4" s="156"/>
      <c r="I4" s="178"/>
      <c r="K4" s="177"/>
      <c r="L4" s="1075">
        <f>SUMIF(L7:L306,"No",K7:K306)</f>
        <v>0</v>
      </c>
      <c r="M4" s="1075"/>
      <c r="N4" s="1075"/>
      <c r="O4" s="1075"/>
      <c r="P4" s="23"/>
    </row>
    <row r="5" spans="1:29" x14ac:dyDescent="0.2">
      <c r="A5" s="1073"/>
      <c r="B5" s="1073"/>
      <c r="C5" s="1073"/>
      <c r="D5" s="1073"/>
      <c r="E5" s="179"/>
      <c r="K5" s="83"/>
      <c r="O5" s="107"/>
      <c r="P5" s="107"/>
    </row>
    <row r="6" spans="1:29" ht="25.5" x14ac:dyDescent="0.2">
      <c r="A6" s="34"/>
      <c r="B6" s="1080" t="s">
        <v>182</v>
      </c>
      <c r="C6" s="1080"/>
      <c r="D6" s="32" t="s">
        <v>136</v>
      </c>
      <c r="E6" s="180" t="s">
        <v>183</v>
      </c>
      <c r="F6" s="181" t="s">
        <v>184</v>
      </c>
      <c r="G6" s="182" t="s">
        <v>185</v>
      </c>
      <c r="H6" s="30"/>
      <c r="I6" s="32" t="s">
        <v>188</v>
      </c>
      <c r="J6" s="183"/>
      <c r="K6" s="180" t="s">
        <v>186</v>
      </c>
      <c r="L6" s="181" t="s">
        <v>184</v>
      </c>
      <c r="M6" s="184" t="s">
        <v>185</v>
      </c>
      <c r="N6" s="30"/>
      <c r="O6" s="32" t="s">
        <v>188</v>
      </c>
      <c r="P6" s="31" t="s">
        <v>189</v>
      </c>
    </row>
    <row r="7" spans="1:29" x14ac:dyDescent="0.2">
      <c r="A7" s="8">
        <v>1</v>
      </c>
      <c r="B7" s="1081">
        <f>'Membership Record'!B11</f>
        <v>0</v>
      </c>
      <c r="C7" s="1081"/>
      <c r="D7" s="185">
        <f>IF('Membership Record'!N11="",'Membership Record'!E11,'Membership Record'!N11)</f>
        <v>0</v>
      </c>
      <c r="E7" s="186" t="str">
        <f>IF(D7="Candidate",100,IF(F7="No",100,""))</f>
        <v/>
      </c>
      <c r="F7" s="39"/>
      <c r="G7" s="73"/>
      <c r="H7" s="187"/>
      <c r="I7" s="188"/>
      <c r="K7" s="186" t="str">
        <f>IF(D7="Candidate",230,IF(L7="No",230,""))</f>
        <v/>
      </c>
      <c r="L7" s="39"/>
      <c r="M7" s="73"/>
      <c r="N7" s="187"/>
      <c r="O7" s="189"/>
      <c r="P7" s="190"/>
    </row>
    <row r="8" spans="1:29" x14ac:dyDescent="0.2">
      <c r="A8" s="8">
        <f>A7+1</f>
        <v>2</v>
      </c>
      <c r="B8" s="1079">
        <f>'Membership Record'!B12</f>
        <v>0</v>
      </c>
      <c r="C8" s="1079"/>
      <c r="D8" s="191">
        <f>IF('Membership Record'!N12="",'Membership Record'!E12,'Membership Record'!N12)</f>
        <v>0</v>
      </c>
      <c r="E8" s="186" t="str">
        <f t="shared" ref="E8:E71" si="0">IF(D8="Candidate",100,IF(F8="No",100,""))</f>
        <v/>
      </c>
      <c r="F8" s="39"/>
      <c r="G8" s="75"/>
      <c r="H8" s="193"/>
      <c r="I8" s="194"/>
      <c r="K8" s="186" t="str">
        <f t="shared" ref="K8:K71" si="1">IF(D8="Candidate",230,IF(L8="No",230,""))</f>
        <v/>
      </c>
      <c r="L8" s="39"/>
      <c r="M8" s="75"/>
      <c r="N8" s="193"/>
      <c r="O8" s="195"/>
      <c r="P8" s="196"/>
    </row>
    <row r="9" spans="1:29" x14ac:dyDescent="0.2">
      <c r="A9" s="8">
        <f t="shared" ref="A9:A72" si="2">A8+1</f>
        <v>3</v>
      </c>
      <c r="B9" s="1079">
        <f>'Membership Record'!B13</f>
        <v>0</v>
      </c>
      <c r="C9" s="1079"/>
      <c r="D9" s="191">
        <f>IF('Membership Record'!N13="",'Membership Record'!E13,'Membership Record'!N13)</f>
        <v>0</v>
      </c>
      <c r="E9" s="186" t="str">
        <f t="shared" si="0"/>
        <v/>
      </c>
      <c r="F9" s="39"/>
      <c r="G9" s="75"/>
      <c r="H9" s="193"/>
      <c r="I9" s="194"/>
      <c r="K9" s="186" t="str">
        <f t="shared" si="1"/>
        <v/>
      </c>
      <c r="L9" s="39"/>
      <c r="M9" s="75"/>
      <c r="N9" s="193"/>
      <c r="O9" s="195"/>
      <c r="P9" s="196"/>
    </row>
    <row r="10" spans="1:29" x14ac:dyDescent="0.2">
      <c r="A10" s="8">
        <f t="shared" si="2"/>
        <v>4</v>
      </c>
      <c r="B10" s="1079">
        <f>'Membership Record'!B14</f>
        <v>0</v>
      </c>
      <c r="C10" s="1079"/>
      <c r="D10" s="191">
        <f>IF('Membership Record'!N14="",'Membership Record'!E14,'Membership Record'!N14)</f>
        <v>0</v>
      </c>
      <c r="E10" s="186" t="str">
        <f t="shared" si="0"/>
        <v/>
      </c>
      <c r="F10" s="39"/>
      <c r="G10" s="75"/>
      <c r="H10" s="193"/>
      <c r="I10" s="194"/>
      <c r="K10" s="186" t="str">
        <f t="shared" si="1"/>
        <v/>
      </c>
      <c r="L10" s="39"/>
      <c r="M10" s="75"/>
      <c r="N10" s="193"/>
      <c r="O10" s="195"/>
      <c r="P10" s="196"/>
    </row>
    <row r="11" spans="1:29" x14ac:dyDescent="0.2">
      <c r="A11" s="8">
        <f t="shared" si="2"/>
        <v>5</v>
      </c>
      <c r="B11" s="1079">
        <f>'Membership Record'!B15</f>
        <v>0</v>
      </c>
      <c r="C11" s="1079"/>
      <c r="D11" s="191">
        <f>IF('Membership Record'!N15="",'Membership Record'!E15,'Membership Record'!N15)</f>
        <v>0</v>
      </c>
      <c r="E11" s="186" t="str">
        <f t="shared" si="0"/>
        <v/>
      </c>
      <c r="F11" s="39"/>
      <c r="G11" s="75"/>
      <c r="H11" s="193"/>
      <c r="I11" s="194"/>
      <c r="K11" s="186" t="str">
        <f t="shared" si="1"/>
        <v/>
      </c>
      <c r="L11" s="39"/>
      <c r="M11" s="75"/>
      <c r="N11" s="193"/>
      <c r="O11" s="195"/>
      <c r="P11" s="196"/>
    </row>
    <row r="12" spans="1:29" x14ac:dyDescent="0.2">
      <c r="A12" s="8">
        <f t="shared" si="2"/>
        <v>6</v>
      </c>
      <c r="B12" s="1079">
        <f>'Membership Record'!B16</f>
        <v>0</v>
      </c>
      <c r="C12" s="1079"/>
      <c r="D12" s="191">
        <f>IF('Membership Record'!N16="",'Membership Record'!E16,'Membership Record'!N16)</f>
        <v>0</v>
      </c>
      <c r="E12" s="186" t="str">
        <f t="shared" si="0"/>
        <v/>
      </c>
      <c r="F12" s="39"/>
      <c r="G12" s="75"/>
      <c r="H12" s="193"/>
      <c r="I12" s="194"/>
      <c r="K12" s="186" t="str">
        <f t="shared" si="1"/>
        <v/>
      </c>
      <c r="L12" s="39"/>
      <c r="M12" s="75"/>
      <c r="N12" s="193"/>
      <c r="O12" s="195"/>
      <c r="P12" s="196"/>
    </row>
    <row r="13" spans="1:29" x14ac:dyDescent="0.2">
      <c r="A13" s="8">
        <f t="shared" si="2"/>
        <v>7</v>
      </c>
      <c r="B13" s="1079">
        <f>'Membership Record'!B17</f>
        <v>0</v>
      </c>
      <c r="C13" s="1079"/>
      <c r="D13" s="191">
        <f>IF('Membership Record'!N17="",'Membership Record'!E17,'Membership Record'!N17)</f>
        <v>0</v>
      </c>
      <c r="E13" s="186" t="str">
        <f t="shared" si="0"/>
        <v/>
      </c>
      <c r="F13" s="39"/>
      <c r="G13" s="75"/>
      <c r="H13" s="193"/>
      <c r="I13" s="194"/>
      <c r="K13" s="186" t="str">
        <f t="shared" si="1"/>
        <v/>
      </c>
      <c r="L13" s="39"/>
      <c r="M13" s="75"/>
      <c r="N13" s="193"/>
      <c r="O13" s="195"/>
      <c r="P13" s="196"/>
    </row>
    <row r="14" spans="1:29" x14ac:dyDescent="0.2">
      <c r="A14" s="8">
        <f t="shared" si="2"/>
        <v>8</v>
      </c>
      <c r="B14" s="1079">
        <f>'Membership Record'!B18</f>
        <v>0</v>
      </c>
      <c r="C14" s="1079"/>
      <c r="D14" s="191">
        <f>IF('Membership Record'!N18="",'Membership Record'!E18,'Membership Record'!N18)</f>
        <v>0</v>
      </c>
      <c r="E14" s="186" t="str">
        <f t="shared" si="0"/>
        <v/>
      </c>
      <c r="F14" s="39"/>
      <c r="G14" s="75"/>
      <c r="H14" s="193"/>
      <c r="I14" s="194"/>
      <c r="K14" s="186" t="str">
        <f t="shared" si="1"/>
        <v/>
      </c>
      <c r="L14" s="39"/>
      <c r="M14" s="75"/>
      <c r="N14" s="193"/>
      <c r="O14" s="195"/>
      <c r="P14" s="196"/>
    </row>
    <row r="15" spans="1:29" x14ac:dyDescent="0.2">
      <c r="A15" s="8">
        <f t="shared" si="2"/>
        <v>9</v>
      </c>
      <c r="B15" s="1079">
        <f>'Membership Record'!B19</f>
        <v>0</v>
      </c>
      <c r="C15" s="1079"/>
      <c r="D15" s="191">
        <f>IF('Membership Record'!N19="",'Membership Record'!E19,'Membership Record'!N19)</f>
        <v>0</v>
      </c>
      <c r="E15" s="186" t="str">
        <f t="shared" si="0"/>
        <v/>
      </c>
      <c r="F15" s="39"/>
      <c r="G15" s="75"/>
      <c r="H15" s="193"/>
      <c r="I15" s="194"/>
      <c r="K15" s="186" t="str">
        <f t="shared" si="1"/>
        <v/>
      </c>
      <c r="L15" s="39"/>
      <c r="M15" s="75"/>
      <c r="N15" s="193"/>
      <c r="O15" s="195"/>
      <c r="P15" s="196"/>
    </row>
    <row r="16" spans="1:29" x14ac:dyDescent="0.2">
      <c r="A16" s="8">
        <f t="shared" si="2"/>
        <v>10</v>
      </c>
      <c r="B16" s="1079">
        <f>'Membership Record'!B20</f>
        <v>0</v>
      </c>
      <c r="C16" s="1079"/>
      <c r="D16" s="191">
        <f>IF('Membership Record'!N20="",'Membership Record'!E20,'Membership Record'!N20)</f>
        <v>0</v>
      </c>
      <c r="E16" s="186" t="str">
        <f t="shared" si="0"/>
        <v/>
      </c>
      <c r="F16" s="39"/>
      <c r="G16" s="75"/>
      <c r="H16" s="193"/>
      <c r="I16" s="194"/>
      <c r="K16" s="186" t="str">
        <f t="shared" si="1"/>
        <v/>
      </c>
      <c r="L16" s="39"/>
      <c r="M16" s="75"/>
      <c r="N16" s="193"/>
      <c r="O16" s="195"/>
      <c r="P16" s="196"/>
    </row>
    <row r="17" spans="1:16" x14ac:dyDescent="0.2">
      <c r="A17" s="8">
        <f t="shared" si="2"/>
        <v>11</v>
      </c>
      <c r="B17" s="1079">
        <f>'Membership Record'!B21</f>
        <v>0</v>
      </c>
      <c r="C17" s="1079"/>
      <c r="D17" s="191">
        <f>IF('Membership Record'!N21="",'Membership Record'!E21,'Membership Record'!N21)</f>
        <v>0</v>
      </c>
      <c r="E17" s="186" t="str">
        <f t="shared" si="0"/>
        <v/>
      </c>
      <c r="F17" s="39"/>
      <c r="G17" s="75"/>
      <c r="H17" s="193"/>
      <c r="I17" s="194"/>
      <c r="K17" s="186" t="str">
        <f t="shared" si="1"/>
        <v/>
      </c>
      <c r="L17" s="39"/>
      <c r="M17" s="75"/>
      <c r="N17" s="193"/>
      <c r="O17" s="195"/>
      <c r="P17" s="196"/>
    </row>
    <row r="18" spans="1:16" x14ac:dyDescent="0.2">
      <c r="A18" s="8">
        <f t="shared" si="2"/>
        <v>12</v>
      </c>
      <c r="B18" s="1079">
        <f>'Membership Record'!B22</f>
        <v>0</v>
      </c>
      <c r="C18" s="1079"/>
      <c r="D18" s="191">
        <f>IF('Membership Record'!N22="",'Membership Record'!E22,'Membership Record'!N22)</f>
        <v>0</v>
      </c>
      <c r="E18" s="186" t="str">
        <f t="shared" si="0"/>
        <v/>
      </c>
      <c r="F18" s="39"/>
      <c r="G18" s="75"/>
      <c r="H18" s="193"/>
      <c r="I18" s="194"/>
      <c r="K18" s="186" t="str">
        <f t="shared" si="1"/>
        <v/>
      </c>
      <c r="L18" s="39"/>
      <c r="M18" s="75"/>
      <c r="N18" s="193"/>
      <c r="O18" s="195"/>
      <c r="P18" s="196"/>
    </row>
    <row r="19" spans="1:16" x14ac:dyDescent="0.2">
      <c r="A19" s="8">
        <f t="shared" si="2"/>
        <v>13</v>
      </c>
      <c r="B19" s="1079">
        <f>'Membership Record'!B23</f>
        <v>0</v>
      </c>
      <c r="C19" s="1079"/>
      <c r="D19" s="191">
        <f>IF('Membership Record'!N23="",'Membership Record'!E23,'Membership Record'!N23)</f>
        <v>0</v>
      </c>
      <c r="E19" s="186" t="str">
        <f t="shared" si="0"/>
        <v/>
      </c>
      <c r="F19" s="39"/>
      <c r="G19" s="75"/>
      <c r="H19" s="193"/>
      <c r="I19" s="194"/>
      <c r="K19" s="186" t="str">
        <f t="shared" si="1"/>
        <v/>
      </c>
      <c r="L19" s="39"/>
      <c r="M19" s="75"/>
      <c r="N19" s="193"/>
      <c r="O19" s="195"/>
      <c r="P19" s="196"/>
    </row>
    <row r="20" spans="1:16" x14ac:dyDescent="0.2">
      <c r="A20" s="8">
        <f t="shared" si="2"/>
        <v>14</v>
      </c>
      <c r="B20" s="1079">
        <f>'Membership Record'!B24</f>
        <v>0</v>
      </c>
      <c r="C20" s="1079"/>
      <c r="D20" s="191">
        <f>IF('Membership Record'!N24="",'Membership Record'!E24,'Membership Record'!N24)</f>
        <v>0</v>
      </c>
      <c r="E20" s="186" t="str">
        <f t="shared" si="0"/>
        <v/>
      </c>
      <c r="F20" s="39"/>
      <c r="G20" s="197"/>
      <c r="H20" s="193"/>
      <c r="I20" s="194"/>
      <c r="K20" s="186" t="str">
        <f t="shared" si="1"/>
        <v/>
      </c>
      <c r="L20" s="39"/>
      <c r="M20" s="197"/>
      <c r="N20" s="193"/>
      <c r="O20" s="195"/>
      <c r="P20" s="196"/>
    </row>
    <row r="21" spans="1:16" x14ac:dyDescent="0.2">
      <c r="A21" s="8">
        <f t="shared" si="2"/>
        <v>15</v>
      </c>
      <c r="B21" s="1079">
        <f>'Membership Record'!B25</f>
        <v>0</v>
      </c>
      <c r="C21" s="1079"/>
      <c r="D21" s="191">
        <f>IF('Membership Record'!N25="",'Membership Record'!E25,'Membership Record'!N25)</f>
        <v>0</v>
      </c>
      <c r="E21" s="186" t="str">
        <f t="shared" si="0"/>
        <v/>
      </c>
      <c r="F21" s="39"/>
      <c r="G21" s="75"/>
      <c r="H21" s="193"/>
      <c r="I21" s="194"/>
      <c r="K21" s="186" t="str">
        <f t="shared" si="1"/>
        <v/>
      </c>
      <c r="L21" s="39"/>
      <c r="M21" s="75"/>
      <c r="N21" s="193"/>
      <c r="O21" s="195"/>
      <c r="P21" s="196"/>
    </row>
    <row r="22" spans="1:16" x14ac:dyDescent="0.2">
      <c r="A22" s="8">
        <f t="shared" si="2"/>
        <v>16</v>
      </c>
      <c r="B22" s="1079">
        <f>'Membership Record'!B26</f>
        <v>0</v>
      </c>
      <c r="C22" s="1079"/>
      <c r="D22" s="191">
        <f>IF('Membership Record'!N26="",'Membership Record'!E26,'Membership Record'!N26)</f>
        <v>0</v>
      </c>
      <c r="E22" s="186" t="str">
        <f t="shared" si="0"/>
        <v/>
      </c>
      <c r="F22" s="39"/>
      <c r="G22" s="75"/>
      <c r="H22" s="193"/>
      <c r="I22" s="194"/>
      <c r="K22" s="186" t="str">
        <f t="shared" si="1"/>
        <v/>
      </c>
      <c r="L22" s="39"/>
      <c r="M22" s="197"/>
      <c r="N22" s="193"/>
      <c r="O22" s="44"/>
      <c r="P22" s="196"/>
    </row>
    <row r="23" spans="1:16" x14ac:dyDescent="0.2">
      <c r="A23" s="8">
        <f t="shared" si="2"/>
        <v>17</v>
      </c>
      <c r="B23" s="1079">
        <f>'Membership Record'!B27</f>
        <v>0</v>
      </c>
      <c r="C23" s="1079"/>
      <c r="D23" s="191">
        <f>IF('Membership Record'!N27="",'Membership Record'!E27,'Membership Record'!N27)</f>
        <v>0</v>
      </c>
      <c r="E23" s="186" t="str">
        <f t="shared" si="0"/>
        <v/>
      </c>
      <c r="F23" s="39"/>
      <c r="G23" s="75"/>
      <c r="H23" s="193"/>
      <c r="I23" s="194"/>
      <c r="K23" s="186" t="str">
        <f t="shared" si="1"/>
        <v/>
      </c>
      <c r="L23" s="39"/>
      <c r="M23" s="197"/>
      <c r="N23" s="193"/>
      <c r="O23" s="44"/>
      <c r="P23" s="196"/>
    </row>
    <row r="24" spans="1:16" x14ac:dyDescent="0.2">
      <c r="A24" s="8">
        <f t="shared" si="2"/>
        <v>18</v>
      </c>
      <c r="B24" s="1079">
        <f>'Membership Record'!B28</f>
        <v>0</v>
      </c>
      <c r="C24" s="1079"/>
      <c r="D24" s="191">
        <f>IF('Membership Record'!N28="",'Membership Record'!E28,'Membership Record'!N28)</f>
        <v>0</v>
      </c>
      <c r="E24" s="186" t="str">
        <f t="shared" si="0"/>
        <v/>
      </c>
      <c r="F24" s="39"/>
      <c r="G24" s="197"/>
      <c r="H24" s="193"/>
      <c r="I24" s="193"/>
      <c r="K24" s="186" t="str">
        <f t="shared" si="1"/>
        <v/>
      </c>
      <c r="L24" s="39"/>
      <c r="M24" s="197"/>
      <c r="N24" s="193"/>
      <c r="O24" s="195"/>
      <c r="P24" s="196"/>
    </row>
    <row r="25" spans="1:16" x14ac:dyDescent="0.2">
      <c r="A25" s="8">
        <f t="shared" si="2"/>
        <v>19</v>
      </c>
      <c r="B25" s="1079">
        <f>'Membership Record'!B29</f>
        <v>0</v>
      </c>
      <c r="C25" s="1079"/>
      <c r="D25" s="191">
        <f>IF('Membership Record'!N29="",'Membership Record'!E29,'Membership Record'!N29)</f>
        <v>0</v>
      </c>
      <c r="E25" s="186" t="str">
        <f t="shared" si="0"/>
        <v/>
      </c>
      <c r="F25" s="39"/>
      <c r="G25" s="197"/>
      <c r="H25" s="193"/>
      <c r="I25" s="193"/>
      <c r="K25" s="186" t="str">
        <f t="shared" si="1"/>
        <v/>
      </c>
      <c r="L25" s="39"/>
      <c r="M25" s="197"/>
      <c r="N25" s="193"/>
      <c r="O25" s="195"/>
      <c r="P25" s="196"/>
    </row>
    <row r="26" spans="1:16" x14ac:dyDescent="0.2">
      <c r="A26" s="8">
        <f t="shared" si="2"/>
        <v>20</v>
      </c>
      <c r="B26" s="1079">
        <f>'Membership Record'!B30</f>
        <v>0</v>
      </c>
      <c r="C26" s="1079"/>
      <c r="D26" s="191">
        <f>IF('Membership Record'!N30="",'Membership Record'!E30,'Membership Record'!N30)</f>
        <v>0</v>
      </c>
      <c r="E26" s="186" t="str">
        <f t="shared" si="0"/>
        <v/>
      </c>
      <c r="F26" s="39"/>
      <c r="G26" s="197"/>
      <c r="H26" s="193"/>
      <c r="I26" s="193"/>
      <c r="K26" s="186" t="str">
        <f t="shared" si="1"/>
        <v/>
      </c>
      <c r="L26" s="39"/>
      <c r="M26" s="197"/>
      <c r="N26" s="193"/>
      <c r="O26" s="44"/>
      <c r="P26" s="196"/>
    </row>
    <row r="27" spans="1:16" x14ac:dyDescent="0.2">
      <c r="A27" s="8">
        <f t="shared" si="2"/>
        <v>21</v>
      </c>
      <c r="B27" s="1079">
        <f>'Membership Record'!B31</f>
        <v>0</v>
      </c>
      <c r="C27" s="1079"/>
      <c r="D27" s="191">
        <f>IF('Membership Record'!N31="",'Membership Record'!E31,'Membership Record'!N31)</f>
        <v>0</v>
      </c>
      <c r="E27" s="186" t="str">
        <f t="shared" si="0"/>
        <v/>
      </c>
      <c r="F27" s="39"/>
      <c r="G27" s="197"/>
      <c r="H27" s="193"/>
      <c r="I27" s="193"/>
      <c r="K27" s="186" t="str">
        <f t="shared" si="1"/>
        <v/>
      </c>
      <c r="L27" s="39"/>
      <c r="M27" s="197"/>
      <c r="N27" s="193"/>
      <c r="O27" s="44"/>
      <c r="P27" s="196"/>
    </row>
    <row r="28" spans="1:16" x14ac:dyDescent="0.2">
      <c r="A28" s="8">
        <f t="shared" si="2"/>
        <v>22</v>
      </c>
      <c r="B28" s="1079">
        <f>'Membership Record'!B32</f>
        <v>0</v>
      </c>
      <c r="C28" s="1079"/>
      <c r="D28" s="191">
        <f>IF('Membership Record'!N32="",'Membership Record'!E32,'Membership Record'!N32)</f>
        <v>0</v>
      </c>
      <c r="E28" s="186" t="str">
        <f t="shared" si="0"/>
        <v/>
      </c>
      <c r="F28" s="39"/>
      <c r="G28" s="197"/>
      <c r="H28" s="193"/>
      <c r="I28" s="193"/>
      <c r="K28" s="186" t="str">
        <f t="shared" si="1"/>
        <v/>
      </c>
      <c r="L28" s="39"/>
      <c r="M28" s="197"/>
      <c r="N28" s="193"/>
      <c r="O28" s="44"/>
      <c r="P28" s="196"/>
    </row>
    <row r="29" spans="1:16" x14ac:dyDescent="0.2">
      <c r="A29" s="8">
        <f t="shared" si="2"/>
        <v>23</v>
      </c>
      <c r="B29" s="1079">
        <f>'Membership Record'!B33</f>
        <v>0</v>
      </c>
      <c r="C29" s="1079"/>
      <c r="D29" s="191">
        <f>IF('Membership Record'!N33="",'Membership Record'!E33,'Membership Record'!N33)</f>
        <v>0</v>
      </c>
      <c r="E29" s="186" t="str">
        <f t="shared" si="0"/>
        <v/>
      </c>
      <c r="F29" s="39"/>
      <c r="G29" s="197"/>
      <c r="H29" s="193"/>
      <c r="I29" s="193"/>
      <c r="K29" s="186" t="str">
        <f t="shared" si="1"/>
        <v/>
      </c>
      <c r="L29" s="39"/>
      <c r="M29" s="197"/>
      <c r="N29" s="193"/>
      <c r="O29" s="44"/>
      <c r="P29" s="196"/>
    </row>
    <row r="30" spans="1:16" x14ac:dyDescent="0.2">
      <c r="A30" s="8">
        <f t="shared" si="2"/>
        <v>24</v>
      </c>
      <c r="B30" s="1079">
        <f>'Membership Record'!B34</f>
        <v>0</v>
      </c>
      <c r="C30" s="1079"/>
      <c r="D30" s="441">
        <f>IF('Membership Record'!N34="",'Membership Record'!E34,'Membership Record'!N34)</f>
        <v>0</v>
      </c>
      <c r="E30" s="186" t="str">
        <f t="shared" si="0"/>
        <v/>
      </c>
      <c r="F30" s="39"/>
      <c r="G30" s="197"/>
      <c r="H30" s="193"/>
      <c r="I30" s="193"/>
      <c r="K30" s="186" t="str">
        <f t="shared" si="1"/>
        <v/>
      </c>
      <c r="L30" s="39"/>
      <c r="M30" s="197"/>
      <c r="N30" s="193"/>
      <c r="O30" s="44"/>
      <c r="P30" s="196"/>
    </row>
    <row r="31" spans="1:16" x14ac:dyDescent="0.2">
      <c r="A31" s="8">
        <f t="shared" si="2"/>
        <v>25</v>
      </c>
      <c r="B31" s="1079">
        <f>'Membership Record'!B35</f>
        <v>0</v>
      </c>
      <c r="C31" s="1079"/>
      <c r="D31" s="191">
        <f>IF('Membership Record'!N35="",'Membership Record'!E35,'Membership Record'!N35)</f>
        <v>0</v>
      </c>
      <c r="E31" s="186" t="str">
        <f t="shared" si="0"/>
        <v/>
      </c>
      <c r="F31" s="39"/>
      <c r="G31" s="197"/>
      <c r="H31" s="193"/>
      <c r="I31" s="193"/>
      <c r="K31" s="186" t="str">
        <f t="shared" si="1"/>
        <v/>
      </c>
      <c r="L31" s="39"/>
      <c r="M31" s="197"/>
      <c r="N31" s="193"/>
      <c r="O31" s="44"/>
      <c r="P31" s="196"/>
    </row>
    <row r="32" spans="1:16" x14ac:dyDescent="0.2">
      <c r="A32" s="8">
        <f t="shared" si="2"/>
        <v>26</v>
      </c>
      <c r="B32" s="1079">
        <f>'Membership Record'!B36</f>
        <v>0</v>
      </c>
      <c r="C32" s="1079"/>
      <c r="D32" s="191">
        <f>IF('Membership Record'!N36="",'Membership Record'!E36,'Membership Record'!N36)</f>
        <v>0</v>
      </c>
      <c r="E32" s="186" t="str">
        <f t="shared" si="0"/>
        <v/>
      </c>
      <c r="F32" s="39"/>
      <c r="G32" s="197"/>
      <c r="H32" s="193"/>
      <c r="I32" s="193"/>
      <c r="K32" s="186" t="str">
        <f t="shared" si="1"/>
        <v/>
      </c>
      <c r="L32" s="39"/>
      <c r="M32" s="197"/>
      <c r="N32" s="193"/>
      <c r="O32" s="44"/>
      <c r="P32" s="196"/>
    </row>
    <row r="33" spans="1:16" x14ac:dyDescent="0.2">
      <c r="A33" s="8">
        <f t="shared" si="2"/>
        <v>27</v>
      </c>
      <c r="B33" s="1079">
        <f>'Membership Record'!B37</f>
        <v>0</v>
      </c>
      <c r="C33" s="1079"/>
      <c r="D33" s="191">
        <f>IF('Membership Record'!N37="",'Membership Record'!E37,'Membership Record'!N37)</f>
        <v>0</v>
      </c>
      <c r="E33" s="186" t="str">
        <f t="shared" si="0"/>
        <v/>
      </c>
      <c r="F33" s="39"/>
      <c r="G33" s="197"/>
      <c r="H33" s="193"/>
      <c r="I33" s="193"/>
      <c r="K33" s="186" t="str">
        <f t="shared" si="1"/>
        <v/>
      </c>
      <c r="L33" s="39"/>
      <c r="M33" s="197"/>
      <c r="N33" s="193"/>
      <c r="O33" s="44"/>
      <c r="P33" s="196"/>
    </row>
    <row r="34" spans="1:16" x14ac:dyDescent="0.2">
      <c r="A34" s="8">
        <f t="shared" si="2"/>
        <v>28</v>
      </c>
      <c r="B34" s="1079">
        <f>'Membership Record'!B38</f>
        <v>0</v>
      </c>
      <c r="C34" s="1079"/>
      <c r="D34" s="191">
        <f>IF('Membership Record'!N38="",'Membership Record'!E38,'Membership Record'!N38)</f>
        <v>0</v>
      </c>
      <c r="E34" s="186" t="str">
        <f t="shared" si="0"/>
        <v/>
      </c>
      <c r="F34" s="39"/>
      <c r="G34" s="197"/>
      <c r="H34" s="193">
        <f t="shared" ref="H34:H71" si="3">MONTH(G34)</f>
        <v>1</v>
      </c>
      <c r="I34" s="193"/>
      <c r="K34" s="186" t="str">
        <f t="shared" si="1"/>
        <v/>
      </c>
      <c r="L34" s="39"/>
      <c r="M34" s="197"/>
      <c r="N34" s="193"/>
      <c r="O34" s="44"/>
      <c r="P34" s="196"/>
    </row>
    <row r="35" spans="1:16" x14ac:dyDescent="0.2">
      <c r="A35" s="8">
        <f t="shared" si="2"/>
        <v>29</v>
      </c>
      <c r="B35" s="1079">
        <f>'Membership Record'!B39</f>
        <v>0</v>
      </c>
      <c r="C35" s="1079"/>
      <c r="D35" s="191">
        <f>IF('Membership Record'!N39="",'Membership Record'!E39,'Membership Record'!N39)</f>
        <v>0</v>
      </c>
      <c r="E35" s="186" t="str">
        <f t="shared" si="0"/>
        <v/>
      </c>
      <c r="F35" s="39"/>
      <c r="G35" s="197"/>
      <c r="H35" s="193">
        <f t="shared" si="3"/>
        <v>1</v>
      </c>
      <c r="I35" s="193"/>
      <c r="K35" s="186" t="str">
        <f t="shared" si="1"/>
        <v/>
      </c>
      <c r="L35" s="39"/>
      <c r="M35" s="197"/>
      <c r="N35" s="193">
        <f t="shared" ref="N35:N71" si="4">MONTH(M35)</f>
        <v>1</v>
      </c>
      <c r="O35" s="44"/>
      <c r="P35" s="196"/>
    </row>
    <row r="36" spans="1:16" x14ac:dyDescent="0.2">
      <c r="A36" s="8">
        <f t="shared" si="2"/>
        <v>30</v>
      </c>
      <c r="B36" s="1079">
        <f>'Membership Record'!B40</f>
        <v>0</v>
      </c>
      <c r="C36" s="1079"/>
      <c r="D36" s="191">
        <f>IF('Membership Record'!N40="",'Membership Record'!E40,'Membership Record'!N40)</f>
        <v>0</v>
      </c>
      <c r="E36" s="186" t="str">
        <f t="shared" si="0"/>
        <v/>
      </c>
      <c r="F36" s="39"/>
      <c r="G36" s="197"/>
      <c r="H36" s="193">
        <f t="shared" si="3"/>
        <v>1</v>
      </c>
      <c r="I36" s="193"/>
      <c r="K36" s="186" t="str">
        <f t="shared" si="1"/>
        <v/>
      </c>
      <c r="L36" s="39"/>
      <c r="M36" s="197"/>
      <c r="N36" s="193">
        <f t="shared" si="4"/>
        <v>1</v>
      </c>
      <c r="O36" s="44"/>
      <c r="P36" s="196"/>
    </row>
    <row r="37" spans="1:16" x14ac:dyDescent="0.2">
      <c r="A37" s="8">
        <f t="shared" si="2"/>
        <v>31</v>
      </c>
      <c r="B37" s="1079">
        <f>'Membership Record'!B41</f>
        <v>0</v>
      </c>
      <c r="C37" s="1079"/>
      <c r="D37" s="191">
        <f>IF('Membership Record'!N41="",'Membership Record'!E41,'Membership Record'!N41)</f>
        <v>0</v>
      </c>
      <c r="E37" s="186" t="str">
        <f t="shared" si="0"/>
        <v/>
      </c>
      <c r="F37" s="39"/>
      <c r="G37" s="197"/>
      <c r="H37" s="193">
        <f t="shared" si="3"/>
        <v>1</v>
      </c>
      <c r="I37" s="193"/>
      <c r="K37" s="186" t="str">
        <f t="shared" si="1"/>
        <v/>
      </c>
      <c r="L37" s="39"/>
      <c r="M37" s="197"/>
      <c r="N37" s="193">
        <f t="shared" si="4"/>
        <v>1</v>
      </c>
      <c r="O37" s="44"/>
      <c r="P37" s="196"/>
    </row>
    <row r="38" spans="1:16" x14ac:dyDescent="0.2">
      <c r="A38" s="8">
        <f t="shared" si="2"/>
        <v>32</v>
      </c>
      <c r="B38" s="1079">
        <f>'Membership Record'!B42</f>
        <v>0</v>
      </c>
      <c r="C38" s="1079"/>
      <c r="D38" s="191">
        <f>IF('Membership Record'!N42="",'Membership Record'!E42,'Membership Record'!N42)</f>
        <v>0</v>
      </c>
      <c r="E38" s="186" t="str">
        <f t="shared" si="0"/>
        <v/>
      </c>
      <c r="F38" s="39"/>
      <c r="G38" s="197"/>
      <c r="H38" s="193">
        <f t="shared" si="3"/>
        <v>1</v>
      </c>
      <c r="I38" s="193"/>
      <c r="K38" s="186" t="str">
        <f t="shared" si="1"/>
        <v/>
      </c>
      <c r="L38" s="39"/>
      <c r="M38" s="197"/>
      <c r="N38" s="193">
        <f t="shared" si="4"/>
        <v>1</v>
      </c>
      <c r="O38" s="44"/>
      <c r="P38" s="196"/>
    </row>
    <row r="39" spans="1:16" x14ac:dyDescent="0.2">
      <c r="A39" s="8">
        <f t="shared" si="2"/>
        <v>33</v>
      </c>
      <c r="B39" s="1079">
        <f>'Membership Record'!B43</f>
        <v>0</v>
      </c>
      <c r="C39" s="1079"/>
      <c r="D39" s="191">
        <f>IF('Membership Record'!N43="",'Membership Record'!E43,'Membership Record'!N43)</f>
        <v>0</v>
      </c>
      <c r="E39" s="186" t="str">
        <f t="shared" si="0"/>
        <v/>
      </c>
      <c r="F39" s="39"/>
      <c r="G39" s="197"/>
      <c r="H39" s="193">
        <f t="shared" si="3"/>
        <v>1</v>
      </c>
      <c r="I39" s="193"/>
      <c r="K39" s="186" t="str">
        <f t="shared" si="1"/>
        <v/>
      </c>
      <c r="L39" s="39"/>
      <c r="M39" s="197"/>
      <c r="N39" s="193">
        <f t="shared" si="4"/>
        <v>1</v>
      </c>
      <c r="O39" s="44"/>
      <c r="P39" s="196"/>
    </row>
    <row r="40" spans="1:16" x14ac:dyDescent="0.2">
      <c r="A40" s="8">
        <f t="shared" si="2"/>
        <v>34</v>
      </c>
      <c r="B40" s="1079">
        <f>'Membership Record'!B44</f>
        <v>0</v>
      </c>
      <c r="C40" s="1079"/>
      <c r="D40" s="191">
        <f>IF('Membership Record'!N44="",'Membership Record'!E44,'Membership Record'!N44)</f>
        <v>0</v>
      </c>
      <c r="E40" s="186" t="str">
        <f t="shared" si="0"/>
        <v/>
      </c>
      <c r="F40" s="39"/>
      <c r="G40" s="197"/>
      <c r="H40" s="193">
        <f t="shared" si="3"/>
        <v>1</v>
      </c>
      <c r="I40" s="193"/>
      <c r="K40" s="186" t="str">
        <f t="shared" si="1"/>
        <v/>
      </c>
      <c r="L40" s="39"/>
      <c r="M40" s="197"/>
      <c r="N40" s="193">
        <f t="shared" si="4"/>
        <v>1</v>
      </c>
      <c r="O40" s="44"/>
      <c r="P40" s="196"/>
    </row>
    <row r="41" spans="1:16" x14ac:dyDescent="0.2">
      <c r="A41" s="8">
        <f t="shared" si="2"/>
        <v>35</v>
      </c>
      <c r="B41" s="1079">
        <f>'Membership Record'!B45</f>
        <v>0</v>
      </c>
      <c r="C41" s="1079"/>
      <c r="D41" s="191">
        <f>IF('Membership Record'!N45="",'Membership Record'!E45,'Membership Record'!N45)</f>
        <v>0</v>
      </c>
      <c r="E41" s="186" t="str">
        <f t="shared" si="0"/>
        <v/>
      </c>
      <c r="F41" s="39"/>
      <c r="G41" s="197"/>
      <c r="H41" s="193">
        <f t="shared" si="3"/>
        <v>1</v>
      </c>
      <c r="I41" s="193"/>
      <c r="K41" s="186" t="str">
        <f t="shared" si="1"/>
        <v/>
      </c>
      <c r="L41" s="39"/>
      <c r="M41" s="197"/>
      <c r="N41" s="193">
        <f t="shared" si="4"/>
        <v>1</v>
      </c>
      <c r="O41" s="44"/>
      <c r="P41" s="196"/>
    </row>
    <row r="42" spans="1:16" x14ac:dyDescent="0.2">
      <c r="A42" s="8">
        <f t="shared" si="2"/>
        <v>36</v>
      </c>
      <c r="B42" s="1079">
        <f>'Membership Record'!B46</f>
        <v>0</v>
      </c>
      <c r="C42" s="1079"/>
      <c r="D42" s="191">
        <f>IF('Membership Record'!N46="",'Membership Record'!E46,'Membership Record'!N46)</f>
        <v>0</v>
      </c>
      <c r="E42" s="186" t="str">
        <f t="shared" si="0"/>
        <v/>
      </c>
      <c r="F42" s="39"/>
      <c r="G42" s="197"/>
      <c r="H42" s="193">
        <f t="shared" si="3"/>
        <v>1</v>
      </c>
      <c r="I42" s="193"/>
      <c r="K42" s="186" t="str">
        <f t="shared" si="1"/>
        <v/>
      </c>
      <c r="L42" s="39"/>
      <c r="M42" s="197"/>
      <c r="N42" s="193">
        <f t="shared" si="4"/>
        <v>1</v>
      </c>
      <c r="O42" s="44"/>
      <c r="P42" s="196"/>
    </row>
    <row r="43" spans="1:16" x14ac:dyDescent="0.2">
      <c r="A43" s="8">
        <f t="shared" si="2"/>
        <v>37</v>
      </c>
      <c r="B43" s="1079">
        <f>'Membership Record'!B47</f>
        <v>0</v>
      </c>
      <c r="C43" s="1079"/>
      <c r="D43" s="191">
        <f>IF('Membership Record'!N47="",'Membership Record'!E47,'Membership Record'!N47)</f>
        <v>0</v>
      </c>
      <c r="E43" s="186" t="str">
        <f t="shared" si="0"/>
        <v/>
      </c>
      <c r="F43" s="39"/>
      <c r="G43" s="197"/>
      <c r="H43" s="193">
        <f t="shared" si="3"/>
        <v>1</v>
      </c>
      <c r="I43" s="193"/>
      <c r="K43" s="186" t="str">
        <f t="shared" si="1"/>
        <v/>
      </c>
      <c r="L43" s="39"/>
      <c r="M43" s="197"/>
      <c r="N43" s="193">
        <f t="shared" si="4"/>
        <v>1</v>
      </c>
      <c r="O43" s="44"/>
      <c r="P43" s="196"/>
    </row>
    <row r="44" spans="1:16" x14ac:dyDescent="0.2">
      <c r="A44" s="8">
        <f t="shared" si="2"/>
        <v>38</v>
      </c>
      <c r="B44" s="1079">
        <f>'Membership Record'!B48</f>
        <v>0</v>
      </c>
      <c r="C44" s="1079"/>
      <c r="D44" s="191">
        <f>IF('Membership Record'!N48="",'Membership Record'!E48,'Membership Record'!N48)</f>
        <v>0</v>
      </c>
      <c r="E44" s="186" t="str">
        <f t="shared" si="0"/>
        <v/>
      </c>
      <c r="F44" s="39"/>
      <c r="G44" s="197"/>
      <c r="H44" s="193">
        <f t="shared" si="3"/>
        <v>1</v>
      </c>
      <c r="I44" s="193"/>
      <c r="K44" s="186" t="str">
        <f t="shared" si="1"/>
        <v/>
      </c>
      <c r="L44" s="39"/>
      <c r="M44" s="197"/>
      <c r="N44" s="193">
        <f t="shared" si="4"/>
        <v>1</v>
      </c>
      <c r="O44" s="44"/>
      <c r="P44" s="196"/>
    </row>
    <row r="45" spans="1:16" x14ac:dyDescent="0.2">
      <c r="A45" s="8">
        <f t="shared" si="2"/>
        <v>39</v>
      </c>
      <c r="B45" s="1079">
        <f>'Membership Record'!B49</f>
        <v>0</v>
      </c>
      <c r="C45" s="1079"/>
      <c r="D45" s="191">
        <f>IF('Membership Record'!N49="",'Membership Record'!E49,'Membership Record'!N49)</f>
        <v>0</v>
      </c>
      <c r="E45" s="186" t="str">
        <f t="shared" si="0"/>
        <v/>
      </c>
      <c r="F45" s="39"/>
      <c r="G45" s="197"/>
      <c r="H45" s="193">
        <f t="shared" si="3"/>
        <v>1</v>
      </c>
      <c r="I45" s="193"/>
      <c r="K45" s="186" t="str">
        <f t="shared" si="1"/>
        <v/>
      </c>
      <c r="L45" s="39"/>
      <c r="M45" s="197"/>
      <c r="N45" s="193">
        <f t="shared" si="4"/>
        <v>1</v>
      </c>
      <c r="O45" s="44"/>
      <c r="P45" s="196"/>
    </row>
    <row r="46" spans="1:16" x14ac:dyDescent="0.2">
      <c r="A46" s="8">
        <f t="shared" si="2"/>
        <v>40</v>
      </c>
      <c r="B46" s="1079">
        <f>'Membership Record'!B50</f>
        <v>0</v>
      </c>
      <c r="C46" s="1079"/>
      <c r="D46" s="191">
        <f>IF('Membership Record'!N50="",'Membership Record'!E50,'Membership Record'!N50)</f>
        <v>0</v>
      </c>
      <c r="E46" s="186" t="str">
        <f t="shared" si="0"/>
        <v/>
      </c>
      <c r="F46" s="39"/>
      <c r="G46" s="197"/>
      <c r="H46" s="193">
        <f t="shared" si="3"/>
        <v>1</v>
      </c>
      <c r="I46" s="193"/>
      <c r="K46" s="186" t="str">
        <f t="shared" si="1"/>
        <v/>
      </c>
      <c r="L46" s="39"/>
      <c r="M46" s="197"/>
      <c r="N46" s="193">
        <f t="shared" si="4"/>
        <v>1</v>
      </c>
      <c r="O46" s="44"/>
      <c r="P46" s="196"/>
    </row>
    <row r="47" spans="1:16" x14ac:dyDescent="0.2">
      <c r="A47" s="8">
        <f t="shared" si="2"/>
        <v>41</v>
      </c>
      <c r="B47" s="1079">
        <f>'Membership Record'!B51</f>
        <v>0</v>
      </c>
      <c r="C47" s="1079"/>
      <c r="D47" s="191">
        <f>IF('Membership Record'!N51="",'Membership Record'!E51,'Membership Record'!N51)</f>
        <v>0</v>
      </c>
      <c r="E47" s="186" t="str">
        <f t="shared" si="0"/>
        <v/>
      </c>
      <c r="F47" s="39"/>
      <c r="G47" s="197"/>
      <c r="H47" s="193">
        <f t="shared" si="3"/>
        <v>1</v>
      </c>
      <c r="I47" s="193"/>
      <c r="K47" s="186" t="str">
        <f t="shared" si="1"/>
        <v/>
      </c>
      <c r="L47" s="39"/>
      <c r="M47" s="197"/>
      <c r="N47" s="193">
        <f t="shared" si="4"/>
        <v>1</v>
      </c>
      <c r="O47" s="44"/>
      <c r="P47" s="196"/>
    </row>
    <row r="48" spans="1:16" x14ac:dyDescent="0.2">
      <c r="A48" s="8">
        <f t="shared" si="2"/>
        <v>42</v>
      </c>
      <c r="B48" s="1079">
        <f>'Membership Record'!B52</f>
        <v>0</v>
      </c>
      <c r="C48" s="1079"/>
      <c r="D48" s="191">
        <f>IF('Membership Record'!N52="",'Membership Record'!E52,'Membership Record'!N52)</f>
        <v>0</v>
      </c>
      <c r="E48" s="186" t="str">
        <f t="shared" si="0"/>
        <v/>
      </c>
      <c r="F48" s="39"/>
      <c r="G48" s="197"/>
      <c r="H48" s="193">
        <f t="shared" si="3"/>
        <v>1</v>
      </c>
      <c r="I48" s="193"/>
      <c r="K48" s="186" t="str">
        <f t="shared" si="1"/>
        <v/>
      </c>
      <c r="L48" s="39"/>
      <c r="M48" s="197"/>
      <c r="N48" s="193">
        <f t="shared" si="4"/>
        <v>1</v>
      </c>
      <c r="O48" s="44"/>
      <c r="P48" s="196"/>
    </row>
    <row r="49" spans="1:16" x14ac:dyDescent="0.2">
      <c r="A49" s="8">
        <f t="shared" si="2"/>
        <v>43</v>
      </c>
      <c r="B49" s="1079">
        <f>'Membership Record'!B53</f>
        <v>0</v>
      </c>
      <c r="C49" s="1079"/>
      <c r="D49" s="191">
        <f>IF('Membership Record'!N53="",'Membership Record'!E53,'Membership Record'!N53)</f>
        <v>0</v>
      </c>
      <c r="E49" s="186" t="str">
        <f t="shared" si="0"/>
        <v/>
      </c>
      <c r="F49" s="39"/>
      <c r="G49" s="197"/>
      <c r="H49" s="193">
        <f t="shared" si="3"/>
        <v>1</v>
      </c>
      <c r="I49" s="193"/>
      <c r="K49" s="186" t="str">
        <f t="shared" si="1"/>
        <v/>
      </c>
      <c r="L49" s="39"/>
      <c r="M49" s="197"/>
      <c r="N49" s="193">
        <f t="shared" si="4"/>
        <v>1</v>
      </c>
      <c r="O49" s="44"/>
      <c r="P49" s="196"/>
    </row>
    <row r="50" spans="1:16" x14ac:dyDescent="0.2">
      <c r="A50" s="8">
        <f t="shared" si="2"/>
        <v>44</v>
      </c>
      <c r="B50" s="1079">
        <f>'Membership Record'!B54</f>
        <v>0</v>
      </c>
      <c r="C50" s="1079"/>
      <c r="D50" s="191">
        <f>IF('Membership Record'!N54="",'Membership Record'!E54,'Membership Record'!N54)</f>
        <v>0</v>
      </c>
      <c r="E50" s="186" t="str">
        <f t="shared" si="0"/>
        <v/>
      </c>
      <c r="F50" s="39"/>
      <c r="G50" s="197"/>
      <c r="H50" s="193">
        <f t="shared" si="3"/>
        <v>1</v>
      </c>
      <c r="I50" s="193"/>
      <c r="K50" s="186" t="str">
        <f t="shared" si="1"/>
        <v/>
      </c>
      <c r="L50" s="39"/>
      <c r="M50" s="197"/>
      <c r="N50" s="193">
        <f t="shared" si="4"/>
        <v>1</v>
      </c>
      <c r="O50" s="44"/>
      <c r="P50" s="196"/>
    </row>
    <row r="51" spans="1:16" x14ac:dyDescent="0.2">
      <c r="A51" s="8">
        <f t="shared" si="2"/>
        <v>45</v>
      </c>
      <c r="B51" s="1079">
        <f>'Membership Record'!B55</f>
        <v>0</v>
      </c>
      <c r="C51" s="1079"/>
      <c r="D51" s="191">
        <f>IF('Membership Record'!N55="",'Membership Record'!E55,'Membership Record'!N55)</f>
        <v>0</v>
      </c>
      <c r="E51" s="186" t="str">
        <f t="shared" si="0"/>
        <v/>
      </c>
      <c r="F51" s="39"/>
      <c r="G51" s="197"/>
      <c r="H51" s="193">
        <f t="shared" si="3"/>
        <v>1</v>
      </c>
      <c r="I51" s="193"/>
      <c r="K51" s="186" t="str">
        <f t="shared" si="1"/>
        <v/>
      </c>
      <c r="L51" s="39"/>
      <c r="M51" s="197"/>
      <c r="N51" s="193">
        <f t="shared" si="4"/>
        <v>1</v>
      </c>
      <c r="O51" s="44"/>
      <c r="P51" s="196"/>
    </row>
    <row r="52" spans="1:16" x14ac:dyDescent="0.2">
      <c r="A52" s="8">
        <f t="shared" si="2"/>
        <v>46</v>
      </c>
      <c r="B52" s="1079">
        <f>'Membership Record'!B56</f>
        <v>0</v>
      </c>
      <c r="C52" s="1079"/>
      <c r="D52" s="191">
        <f>IF('Membership Record'!N56="",'Membership Record'!E56,'Membership Record'!N56)</f>
        <v>0</v>
      </c>
      <c r="E52" s="186" t="str">
        <f t="shared" si="0"/>
        <v/>
      </c>
      <c r="F52" s="39"/>
      <c r="G52" s="197"/>
      <c r="H52" s="193">
        <f t="shared" si="3"/>
        <v>1</v>
      </c>
      <c r="I52" s="193"/>
      <c r="K52" s="186" t="str">
        <f t="shared" si="1"/>
        <v/>
      </c>
      <c r="L52" s="39"/>
      <c r="M52" s="197"/>
      <c r="N52" s="193">
        <f t="shared" si="4"/>
        <v>1</v>
      </c>
      <c r="O52" s="44"/>
      <c r="P52" s="196"/>
    </row>
    <row r="53" spans="1:16" x14ac:dyDescent="0.2">
      <c r="A53" s="8">
        <f t="shared" si="2"/>
        <v>47</v>
      </c>
      <c r="B53" s="1079">
        <f>'Membership Record'!B57</f>
        <v>0</v>
      </c>
      <c r="C53" s="1079"/>
      <c r="D53" s="191">
        <f>IF('Membership Record'!N57="",'Membership Record'!E57,'Membership Record'!N57)</f>
        <v>0</v>
      </c>
      <c r="E53" s="186" t="str">
        <f t="shared" si="0"/>
        <v/>
      </c>
      <c r="F53" s="39"/>
      <c r="G53" s="197"/>
      <c r="H53" s="193">
        <f t="shared" si="3"/>
        <v>1</v>
      </c>
      <c r="I53" s="193"/>
      <c r="K53" s="186" t="str">
        <f t="shared" si="1"/>
        <v/>
      </c>
      <c r="L53" s="39"/>
      <c r="M53" s="197"/>
      <c r="N53" s="193">
        <f t="shared" si="4"/>
        <v>1</v>
      </c>
      <c r="O53" s="44"/>
      <c r="P53" s="196"/>
    </row>
    <row r="54" spans="1:16" x14ac:dyDescent="0.2">
      <c r="A54" s="8">
        <f t="shared" si="2"/>
        <v>48</v>
      </c>
      <c r="B54" s="1079">
        <f>'Membership Record'!B58</f>
        <v>0</v>
      </c>
      <c r="C54" s="1079"/>
      <c r="D54" s="191">
        <f>IF('Membership Record'!N58="",'Membership Record'!E58,'Membership Record'!N58)</f>
        <v>0</v>
      </c>
      <c r="E54" s="186" t="str">
        <f t="shared" si="0"/>
        <v/>
      </c>
      <c r="F54" s="39"/>
      <c r="G54" s="197"/>
      <c r="H54" s="193">
        <f t="shared" si="3"/>
        <v>1</v>
      </c>
      <c r="I54" s="193"/>
      <c r="K54" s="186" t="str">
        <f t="shared" si="1"/>
        <v/>
      </c>
      <c r="L54" s="39"/>
      <c r="M54" s="197"/>
      <c r="N54" s="193">
        <f t="shared" si="4"/>
        <v>1</v>
      </c>
      <c r="O54" s="44"/>
      <c r="P54" s="196"/>
    </row>
    <row r="55" spans="1:16" x14ac:dyDescent="0.2">
      <c r="A55" s="8">
        <f t="shared" si="2"/>
        <v>49</v>
      </c>
      <c r="B55" s="1079">
        <f>'Membership Record'!B59</f>
        <v>0</v>
      </c>
      <c r="C55" s="1079"/>
      <c r="D55" s="191">
        <f>IF('Membership Record'!N59="",'Membership Record'!E59,'Membership Record'!N59)</f>
        <v>0</v>
      </c>
      <c r="E55" s="186" t="str">
        <f t="shared" si="0"/>
        <v/>
      </c>
      <c r="F55" s="39"/>
      <c r="G55" s="197"/>
      <c r="H55" s="193">
        <f t="shared" si="3"/>
        <v>1</v>
      </c>
      <c r="I55" s="193"/>
      <c r="K55" s="186" t="str">
        <f t="shared" si="1"/>
        <v/>
      </c>
      <c r="L55" s="39"/>
      <c r="M55" s="197"/>
      <c r="N55" s="193">
        <f t="shared" si="4"/>
        <v>1</v>
      </c>
      <c r="O55" s="44"/>
      <c r="P55" s="196"/>
    </row>
    <row r="56" spans="1:16" x14ac:dyDescent="0.2">
      <c r="A56" s="8">
        <f t="shared" si="2"/>
        <v>50</v>
      </c>
      <c r="B56" s="1079">
        <f>'Membership Record'!B60</f>
        <v>0</v>
      </c>
      <c r="C56" s="1079"/>
      <c r="D56" s="191">
        <f>IF('Membership Record'!N60="",'Membership Record'!E60,'Membership Record'!N60)</f>
        <v>0</v>
      </c>
      <c r="E56" s="186" t="str">
        <f t="shared" si="0"/>
        <v/>
      </c>
      <c r="F56" s="39"/>
      <c r="G56" s="197"/>
      <c r="H56" s="193">
        <f t="shared" si="3"/>
        <v>1</v>
      </c>
      <c r="I56" s="193"/>
      <c r="K56" s="186" t="str">
        <f t="shared" si="1"/>
        <v/>
      </c>
      <c r="L56" s="39"/>
      <c r="M56" s="197"/>
      <c r="N56" s="193">
        <f t="shared" si="4"/>
        <v>1</v>
      </c>
      <c r="O56" s="44"/>
      <c r="P56" s="196"/>
    </row>
    <row r="57" spans="1:16" x14ac:dyDescent="0.2">
      <c r="A57" s="8">
        <f t="shared" si="2"/>
        <v>51</v>
      </c>
      <c r="B57" s="1079">
        <f>'Membership Record'!B61</f>
        <v>0</v>
      </c>
      <c r="C57" s="1079"/>
      <c r="D57" s="191">
        <f>IF('Membership Record'!N61="",'Membership Record'!E61,'Membership Record'!N61)</f>
        <v>0</v>
      </c>
      <c r="E57" s="186" t="str">
        <f t="shared" si="0"/>
        <v/>
      </c>
      <c r="F57" s="39"/>
      <c r="G57" s="197"/>
      <c r="H57" s="193">
        <f t="shared" si="3"/>
        <v>1</v>
      </c>
      <c r="I57" s="193"/>
      <c r="K57" s="186" t="str">
        <f t="shared" si="1"/>
        <v/>
      </c>
      <c r="L57" s="39"/>
      <c r="M57" s="197"/>
      <c r="N57" s="193">
        <f t="shared" si="4"/>
        <v>1</v>
      </c>
      <c r="O57" s="44"/>
      <c r="P57" s="196"/>
    </row>
    <row r="58" spans="1:16" x14ac:dyDescent="0.2">
      <c r="A58" s="8">
        <f t="shared" si="2"/>
        <v>52</v>
      </c>
      <c r="B58" s="1079">
        <f>'Membership Record'!B62</f>
        <v>0</v>
      </c>
      <c r="C58" s="1079"/>
      <c r="D58" s="191">
        <f>IF('Membership Record'!N62="",'Membership Record'!E62,'Membership Record'!N62)</f>
        <v>0</v>
      </c>
      <c r="E58" s="186" t="str">
        <f t="shared" si="0"/>
        <v/>
      </c>
      <c r="F58" s="39"/>
      <c r="G58" s="197"/>
      <c r="H58" s="193">
        <f t="shared" si="3"/>
        <v>1</v>
      </c>
      <c r="I58" s="193"/>
      <c r="K58" s="186" t="str">
        <f t="shared" si="1"/>
        <v/>
      </c>
      <c r="L58" s="39"/>
      <c r="M58" s="197"/>
      <c r="N58" s="193">
        <f t="shared" si="4"/>
        <v>1</v>
      </c>
      <c r="O58" s="44"/>
      <c r="P58" s="196"/>
    </row>
    <row r="59" spans="1:16" x14ac:dyDescent="0.2">
      <c r="A59" s="8">
        <f t="shared" si="2"/>
        <v>53</v>
      </c>
      <c r="B59" s="1079">
        <f>'Membership Record'!B63</f>
        <v>0</v>
      </c>
      <c r="C59" s="1079"/>
      <c r="D59" s="191">
        <f>IF('Membership Record'!N63="",'Membership Record'!E63,'Membership Record'!N63)</f>
        <v>0</v>
      </c>
      <c r="E59" s="186" t="str">
        <f t="shared" si="0"/>
        <v/>
      </c>
      <c r="F59" s="39"/>
      <c r="G59" s="197"/>
      <c r="H59" s="193">
        <f t="shared" si="3"/>
        <v>1</v>
      </c>
      <c r="I59" s="193"/>
      <c r="K59" s="186" t="str">
        <f t="shared" si="1"/>
        <v/>
      </c>
      <c r="L59" s="39"/>
      <c r="M59" s="197"/>
      <c r="N59" s="193">
        <f t="shared" si="4"/>
        <v>1</v>
      </c>
      <c r="O59" s="44"/>
      <c r="P59" s="196"/>
    </row>
    <row r="60" spans="1:16" x14ac:dyDescent="0.2">
      <c r="A60" s="8">
        <f t="shared" si="2"/>
        <v>54</v>
      </c>
      <c r="B60" s="1079">
        <f>'Membership Record'!B64</f>
        <v>0</v>
      </c>
      <c r="C60" s="1079"/>
      <c r="D60" s="191">
        <f>IF('Membership Record'!N64="",'Membership Record'!E64,'Membership Record'!N64)</f>
        <v>0</v>
      </c>
      <c r="E60" s="186" t="str">
        <f t="shared" si="0"/>
        <v/>
      </c>
      <c r="F60" s="39"/>
      <c r="G60" s="197"/>
      <c r="H60" s="193">
        <f t="shared" si="3"/>
        <v>1</v>
      </c>
      <c r="I60" s="193"/>
      <c r="K60" s="186" t="str">
        <f t="shared" si="1"/>
        <v/>
      </c>
      <c r="L60" s="39"/>
      <c r="M60" s="197"/>
      <c r="N60" s="193">
        <f t="shared" si="4"/>
        <v>1</v>
      </c>
      <c r="O60" s="44"/>
      <c r="P60" s="196"/>
    </row>
    <row r="61" spans="1:16" x14ac:dyDescent="0.2">
      <c r="A61" s="8">
        <f t="shared" si="2"/>
        <v>55</v>
      </c>
      <c r="B61" s="1079">
        <f>'Membership Record'!B65</f>
        <v>0</v>
      </c>
      <c r="C61" s="1079"/>
      <c r="D61" s="191">
        <f>IF('Membership Record'!N65="",'Membership Record'!E65,'Membership Record'!N65)</f>
        <v>0</v>
      </c>
      <c r="E61" s="186" t="str">
        <f t="shared" si="0"/>
        <v/>
      </c>
      <c r="F61" s="39"/>
      <c r="G61" s="197"/>
      <c r="H61" s="193">
        <f t="shared" si="3"/>
        <v>1</v>
      </c>
      <c r="I61" s="193"/>
      <c r="K61" s="186" t="str">
        <f t="shared" si="1"/>
        <v/>
      </c>
      <c r="L61" s="39"/>
      <c r="M61" s="197"/>
      <c r="N61" s="193">
        <f t="shared" si="4"/>
        <v>1</v>
      </c>
      <c r="O61" s="44"/>
      <c r="P61" s="196"/>
    </row>
    <row r="62" spans="1:16" x14ac:dyDescent="0.2">
      <c r="A62" s="8">
        <f t="shared" si="2"/>
        <v>56</v>
      </c>
      <c r="B62" s="1079">
        <f>'Membership Record'!B66</f>
        <v>0</v>
      </c>
      <c r="C62" s="1079"/>
      <c r="D62" s="191">
        <f>IF('Membership Record'!N66="",'Membership Record'!E66,'Membership Record'!N66)</f>
        <v>0</v>
      </c>
      <c r="E62" s="186" t="str">
        <f t="shared" si="0"/>
        <v/>
      </c>
      <c r="F62" s="39"/>
      <c r="G62" s="197"/>
      <c r="H62" s="193">
        <f t="shared" si="3"/>
        <v>1</v>
      </c>
      <c r="I62" s="193"/>
      <c r="K62" s="186" t="str">
        <f t="shared" si="1"/>
        <v/>
      </c>
      <c r="L62" s="39"/>
      <c r="M62" s="197"/>
      <c r="N62" s="193">
        <f t="shared" si="4"/>
        <v>1</v>
      </c>
      <c r="O62" s="44"/>
      <c r="P62" s="196"/>
    </row>
    <row r="63" spans="1:16" x14ac:dyDescent="0.2">
      <c r="A63" s="8">
        <f t="shared" si="2"/>
        <v>57</v>
      </c>
      <c r="B63" s="1079">
        <f>'Membership Record'!B67</f>
        <v>0</v>
      </c>
      <c r="C63" s="1079"/>
      <c r="D63" s="191">
        <f>IF('Membership Record'!N67="",'Membership Record'!E67,'Membership Record'!N67)</f>
        <v>0</v>
      </c>
      <c r="E63" s="186" t="str">
        <f t="shared" si="0"/>
        <v/>
      </c>
      <c r="F63" s="39"/>
      <c r="G63" s="197"/>
      <c r="H63" s="193">
        <f t="shared" si="3"/>
        <v>1</v>
      </c>
      <c r="I63" s="193"/>
      <c r="K63" s="186" t="str">
        <f t="shared" si="1"/>
        <v/>
      </c>
      <c r="L63" s="39"/>
      <c r="M63" s="197"/>
      <c r="N63" s="193">
        <f t="shared" si="4"/>
        <v>1</v>
      </c>
      <c r="O63" s="44"/>
      <c r="P63" s="196"/>
    </row>
    <row r="64" spans="1:16" x14ac:dyDescent="0.2">
      <c r="A64" s="8">
        <f t="shared" si="2"/>
        <v>58</v>
      </c>
      <c r="B64" s="1079">
        <f>'Membership Record'!B68</f>
        <v>0</v>
      </c>
      <c r="C64" s="1079"/>
      <c r="D64" s="191">
        <f>IF('Membership Record'!N68="",'Membership Record'!E68,'Membership Record'!N68)</f>
        <v>0</v>
      </c>
      <c r="E64" s="186" t="str">
        <f t="shared" si="0"/>
        <v/>
      </c>
      <c r="F64" s="39"/>
      <c r="G64" s="197"/>
      <c r="H64" s="193">
        <f t="shared" si="3"/>
        <v>1</v>
      </c>
      <c r="I64" s="193"/>
      <c r="K64" s="186" t="str">
        <f t="shared" si="1"/>
        <v/>
      </c>
      <c r="L64" s="39"/>
      <c r="M64" s="197"/>
      <c r="N64" s="193">
        <f t="shared" si="4"/>
        <v>1</v>
      </c>
      <c r="O64" s="44"/>
      <c r="P64" s="196"/>
    </row>
    <row r="65" spans="1:16" x14ac:dyDescent="0.2">
      <c r="A65" s="8">
        <f t="shared" si="2"/>
        <v>59</v>
      </c>
      <c r="B65" s="1079">
        <f>'Membership Record'!B69</f>
        <v>0</v>
      </c>
      <c r="C65" s="1079"/>
      <c r="D65" s="191">
        <f>IF('Membership Record'!N69="",'Membership Record'!E69,'Membership Record'!N69)</f>
        <v>0</v>
      </c>
      <c r="E65" s="186" t="str">
        <f t="shared" si="0"/>
        <v/>
      </c>
      <c r="F65" s="39"/>
      <c r="G65" s="197"/>
      <c r="H65" s="193">
        <f t="shared" si="3"/>
        <v>1</v>
      </c>
      <c r="I65" s="193"/>
      <c r="K65" s="186" t="str">
        <f t="shared" si="1"/>
        <v/>
      </c>
      <c r="L65" s="39"/>
      <c r="M65" s="197"/>
      <c r="N65" s="193">
        <f t="shared" si="4"/>
        <v>1</v>
      </c>
      <c r="O65" s="44"/>
      <c r="P65" s="196"/>
    </row>
    <row r="66" spans="1:16" x14ac:dyDescent="0.2">
      <c r="A66" s="8">
        <f t="shared" si="2"/>
        <v>60</v>
      </c>
      <c r="B66" s="1079">
        <f>'Membership Record'!B70</f>
        <v>0</v>
      </c>
      <c r="C66" s="1079"/>
      <c r="D66" s="191">
        <f>IF('Membership Record'!N70="",'Membership Record'!E70,'Membership Record'!N70)</f>
        <v>0</v>
      </c>
      <c r="E66" s="186" t="str">
        <f t="shared" si="0"/>
        <v/>
      </c>
      <c r="F66" s="39"/>
      <c r="G66" s="197"/>
      <c r="H66" s="193">
        <f t="shared" si="3"/>
        <v>1</v>
      </c>
      <c r="I66" s="193"/>
      <c r="K66" s="186" t="str">
        <f t="shared" si="1"/>
        <v/>
      </c>
      <c r="L66" s="39"/>
      <c r="M66" s="197"/>
      <c r="N66" s="193">
        <f t="shared" si="4"/>
        <v>1</v>
      </c>
      <c r="O66" s="44"/>
      <c r="P66" s="196"/>
    </row>
    <row r="67" spans="1:16" x14ac:dyDescent="0.2">
      <c r="A67" s="8">
        <f t="shared" si="2"/>
        <v>61</v>
      </c>
      <c r="B67" s="1079">
        <f>'Membership Record'!B71</f>
        <v>0</v>
      </c>
      <c r="C67" s="1079"/>
      <c r="D67" s="191">
        <f>IF('Membership Record'!N71="",'Membership Record'!E71,'Membership Record'!N71)</f>
        <v>0</v>
      </c>
      <c r="E67" s="186" t="str">
        <f t="shared" si="0"/>
        <v/>
      </c>
      <c r="F67" s="39"/>
      <c r="G67" s="197"/>
      <c r="H67" s="193">
        <f t="shared" si="3"/>
        <v>1</v>
      </c>
      <c r="I67" s="193"/>
      <c r="K67" s="186" t="str">
        <f t="shared" si="1"/>
        <v/>
      </c>
      <c r="L67" s="39"/>
      <c r="M67" s="197"/>
      <c r="N67" s="193">
        <f t="shared" si="4"/>
        <v>1</v>
      </c>
      <c r="O67" s="44"/>
      <c r="P67" s="196"/>
    </row>
    <row r="68" spans="1:16" x14ac:dyDescent="0.2">
      <c r="A68" s="8">
        <f t="shared" si="2"/>
        <v>62</v>
      </c>
      <c r="B68" s="1079">
        <f>'Membership Record'!B72</f>
        <v>0</v>
      </c>
      <c r="C68" s="1079"/>
      <c r="D68" s="191">
        <f>IF('Membership Record'!N72="",'Membership Record'!E72,'Membership Record'!N72)</f>
        <v>0</v>
      </c>
      <c r="E68" s="186" t="str">
        <f t="shared" si="0"/>
        <v/>
      </c>
      <c r="F68" s="39"/>
      <c r="G68" s="197"/>
      <c r="H68" s="193">
        <f t="shared" si="3"/>
        <v>1</v>
      </c>
      <c r="I68" s="193"/>
      <c r="K68" s="186" t="str">
        <f t="shared" si="1"/>
        <v/>
      </c>
      <c r="L68" s="39"/>
      <c r="M68" s="197"/>
      <c r="N68" s="193">
        <f t="shared" si="4"/>
        <v>1</v>
      </c>
      <c r="O68" s="44"/>
      <c r="P68" s="196"/>
    </row>
    <row r="69" spans="1:16" x14ac:dyDescent="0.2">
      <c r="A69" s="8">
        <f t="shared" si="2"/>
        <v>63</v>
      </c>
      <c r="B69" s="1079">
        <f>'Membership Record'!B73</f>
        <v>0</v>
      </c>
      <c r="C69" s="1079"/>
      <c r="D69" s="191">
        <f>IF('Membership Record'!N73="",'Membership Record'!E73,'Membership Record'!N73)</f>
        <v>0</v>
      </c>
      <c r="E69" s="186" t="str">
        <f t="shared" si="0"/>
        <v/>
      </c>
      <c r="F69" s="39"/>
      <c r="G69" s="197"/>
      <c r="H69" s="193">
        <f t="shared" si="3"/>
        <v>1</v>
      </c>
      <c r="I69" s="193"/>
      <c r="K69" s="186" t="str">
        <f t="shared" si="1"/>
        <v/>
      </c>
      <c r="L69" s="39"/>
      <c r="M69" s="197"/>
      <c r="N69" s="193">
        <f t="shared" si="4"/>
        <v>1</v>
      </c>
      <c r="O69" s="44"/>
      <c r="P69" s="196"/>
    </row>
    <row r="70" spans="1:16" x14ac:dyDescent="0.2">
      <c r="A70" s="8">
        <f t="shared" si="2"/>
        <v>64</v>
      </c>
      <c r="B70" s="1079">
        <f>'Membership Record'!B74</f>
        <v>0</v>
      </c>
      <c r="C70" s="1079"/>
      <c r="D70" s="191">
        <f>IF('Membership Record'!N74="",'Membership Record'!E74,'Membership Record'!N74)</f>
        <v>0</v>
      </c>
      <c r="E70" s="186" t="str">
        <f t="shared" si="0"/>
        <v/>
      </c>
      <c r="F70" s="39"/>
      <c r="G70" s="197"/>
      <c r="H70" s="193">
        <f t="shared" si="3"/>
        <v>1</v>
      </c>
      <c r="I70" s="193"/>
      <c r="K70" s="186" t="str">
        <f t="shared" si="1"/>
        <v/>
      </c>
      <c r="L70" s="39"/>
      <c r="M70" s="197"/>
      <c r="N70" s="193">
        <f t="shared" si="4"/>
        <v>1</v>
      </c>
      <c r="O70" s="44"/>
      <c r="P70" s="196"/>
    </row>
    <row r="71" spans="1:16" x14ac:dyDescent="0.2">
      <c r="A71" s="8">
        <f t="shared" si="2"/>
        <v>65</v>
      </c>
      <c r="B71" s="1079">
        <f>'Membership Record'!B75</f>
        <v>0</v>
      </c>
      <c r="C71" s="1079"/>
      <c r="D71" s="191">
        <f>IF('Membership Record'!N75="",'Membership Record'!E75,'Membership Record'!N75)</f>
        <v>0</v>
      </c>
      <c r="E71" s="186" t="str">
        <f t="shared" si="0"/>
        <v/>
      </c>
      <c r="F71" s="39"/>
      <c r="G71" s="197"/>
      <c r="H71" s="193">
        <f t="shared" si="3"/>
        <v>1</v>
      </c>
      <c r="I71" s="193"/>
      <c r="K71" s="186" t="str">
        <f t="shared" si="1"/>
        <v/>
      </c>
      <c r="L71" s="39"/>
      <c r="M71" s="197"/>
      <c r="N71" s="193">
        <f t="shared" si="4"/>
        <v>1</v>
      </c>
      <c r="O71" s="44"/>
      <c r="P71" s="196"/>
    </row>
    <row r="72" spans="1:16" x14ac:dyDescent="0.2">
      <c r="A72" s="8">
        <f t="shared" si="2"/>
        <v>66</v>
      </c>
      <c r="B72" s="1079">
        <f>'Membership Record'!B76</f>
        <v>0</v>
      </c>
      <c r="C72" s="1079"/>
      <c r="D72" s="191">
        <f>IF('Membership Record'!N76="",'Membership Record'!E76,'Membership Record'!N76)</f>
        <v>0</v>
      </c>
      <c r="E72" s="186" t="str">
        <f t="shared" ref="E72:E135" si="5">IF(D72="Candidate",100,IF(F72="No",100,""))</f>
        <v/>
      </c>
      <c r="F72" s="39"/>
      <c r="G72" s="197"/>
      <c r="H72" s="193">
        <f t="shared" ref="H72:H135" si="6">MONTH(G72)</f>
        <v>1</v>
      </c>
      <c r="I72" s="193"/>
      <c r="K72" s="186" t="str">
        <f t="shared" ref="K72:K135" si="7">IF(D72="Candidate",230,IF(L72="No",230,""))</f>
        <v/>
      </c>
      <c r="L72" s="39"/>
      <c r="M72" s="197"/>
      <c r="N72" s="193">
        <f t="shared" ref="N72:N135" si="8">MONTH(M72)</f>
        <v>1</v>
      </c>
      <c r="O72" s="44"/>
      <c r="P72" s="196"/>
    </row>
    <row r="73" spans="1:16" x14ac:dyDescent="0.2">
      <c r="A73" s="8">
        <f t="shared" ref="A73:A136" si="9">A72+1</f>
        <v>67</v>
      </c>
      <c r="B73" s="1079">
        <f>'Membership Record'!B77</f>
        <v>0</v>
      </c>
      <c r="C73" s="1079"/>
      <c r="D73" s="191">
        <f>IF('Membership Record'!N77="",'Membership Record'!E77,'Membership Record'!N77)</f>
        <v>0</v>
      </c>
      <c r="E73" s="186" t="str">
        <f t="shared" si="5"/>
        <v/>
      </c>
      <c r="F73" s="39"/>
      <c r="G73" s="197"/>
      <c r="H73" s="193">
        <f t="shared" si="6"/>
        <v>1</v>
      </c>
      <c r="I73" s="193"/>
      <c r="K73" s="186" t="str">
        <f t="shared" si="7"/>
        <v/>
      </c>
      <c r="L73" s="39"/>
      <c r="M73" s="197"/>
      <c r="N73" s="193">
        <f t="shared" si="8"/>
        <v>1</v>
      </c>
      <c r="O73" s="44"/>
      <c r="P73" s="196"/>
    </row>
    <row r="74" spans="1:16" x14ac:dyDescent="0.2">
      <c r="A74" s="8">
        <f t="shared" si="9"/>
        <v>68</v>
      </c>
      <c r="B74" s="1079">
        <f>'Membership Record'!B78</f>
        <v>0</v>
      </c>
      <c r="C74" s="1079"/>
      <c r="D74" s="191">
        <f>IF('Membership Record'!N78="",'Membership Record'!E78,'Membership Record'!N78)</f>
        <v>0</v>
      </c>
      <c r="E74" s="186" t="str">
        <f t="shared" si="5"/>
        <v/>
      </c>
      <c r="F74" s="39"/>
      <c r="G74" s="197"/>
      <c r="H74" s="193">
        <f t="shared" si="6"/>
        <v>1</v>
      </c>
      <c r="I74" s="193"/>
      <c r="K74" s="186" t="str">
        <f t="shared" si="7"/>
        <v/>
      </c>
      <c r="L74" s="39"/>
      <c r="M74" s="197"/>
      <c r="N74" s="193">
        <f t="shared" si="8"/>
        <v>1</v>
      </c>
      <c r="O74" s="44"/>
      <c r="P74" s="196"/>
    </row>
    <row r="75" spans="1:16" x14ac:dyDescent="0.2">
      <c r="A75" s="8">
        <f t="shared" si="9"/>
        <v>69</v>
      </c>
      <c r="B75" s="1079">
        <f>'Membership Record'!B79</f>
        <v>0</v>
      </c>
      <c r="C75" s="1079"/>
      <c r="D75" s="191">
        <f>IF('Membership Record'!N79="",'Membership Record'!E79,'Membership Record'!N79)</f>
        <v>0</v>
      </c>
      <c r="E75" s="186" t="str">
        <f t="shared" si="5"/>
        <v/>
      </c>
      <c r="F75" s="39"/>
      <c r="G75" s="197"/>
      <c r="H75" s="193">
        <f t="shared" si="6"/>
        <v>1</v>
      </c>
      <c r="I75" s="193"/>
      <c r="K75" s="186" t="str">
        <f t="shared" si="7"/>
        <v/>
      </c>
      <c r="L75" s="39"/>
      <c r="M75" s="197"/>
      <c r="N75" s="193">
        <f t="shared" si="8"/>
        <v>1</v>
      </c>
      <c r="O75" s="44"/>
      <c r="P75" s="196"/>
    </row>
    <row r="76" spans="1:16" x14ac:dyDescent="0.2">
      <c r="A76" s="8">
        <f t="shared" si="9"/>
        <v>70</v>
      </c>
      <c r="B76" s="1079">
        <f>'Membership Record'!B80</f>
        <v>0</v>
      </c>
      <c r="C76" s="1079"/>
      <c r="D76" s="191">
        <f>IF('Membership Record'!N80="",'Membership Record'!E80,'Membership Record'!N80)</f>
        <v>0</v>
      </c>
      <c r="E76" s="186" t="str">
        <f t="shared" si="5"/>
        <v/>
      </c>
      <c r="F76" s="39"/>
      <c r="G76" s="197"/>
      <c r="H76" s="193">
        <f t="shared" si="6"/>
        <v>1</v>
      </c>
      <c r="I76" s="193"/>
      <c r="K76" s="186" t="str">
        <f t="shared" si="7"/>
        <v/>
      </c>
      <c r="L76" s="39"/>
      <c r="M76" s="197"/>
      <c r="N76" s="193">
        <f t="shared" si="8"/>
        <v>1</v>
      </c>
      <c r="O76" s="44"/>
      <c r="P76" s="196"/>
    </row>
    <row r="77" spans="1:16" x14ac:dyDescent="0.2">
      <c r="A77" s="8">
        <f t="shared" si="9"/>
        <v>71</v>
      </c>
      <c r="B77" s="1079">
        <f>'Membership Record'!B81</f>
        <v>0</v>
      </c>
      <c r="C77" s="1079"/>
      <c r="D77" s="191">
        <f>IF('Membership Record'!N81="",'Membership Record'!E81,'Membership Record'!N81)</f>
        <v>0</v>
      </c>
      <c r="E77" s="186" t="str">
        <f t="shared" si="5"/>
        <v/>
      </c>
      <c r="F77" s="39"/>
      <c r="G77" s="197"/>
      <c r="H77" s="193">
        <f t="shared" si="6"/>
        <v>1</v>
      </c>
      <c r="I77" s="193"/>
      <c r="K77" s="186" t="str">
        <f t="shared" si="7"/>
        <v/>
      </c>
      <c r="L77" s="39"/>
      <c r="M77" s="197"/>
      <c r="N77" s="193">
        <f t="shared" si="8"/>
        <v>1</v>
      </c>
      <c r="O77" s="44"/>
      <c r="P77" s="196"/>
    </row>
    <row r="78" spans="1:16" x14ac:dyDescent="0.2">
      <c r="A78" s="8">
        <f t="shared" si="9"/>
        <v>72</v>
      </c>
      <c r="B78" s="1079">
        <f>'Membership Record'!B82</f>
        <v>0</v>
      </c>
      <c r="C78" s="1079"/>
      <c r="D78" s="191">
        <f>IF('Membership Record'!N82="",'Membership Record'!E82,'Membership Record'!N82)</f>
        <v>0</v>
      </c>
      <c r="E78" s="186" t="str">
        <f t="shared" si="5"/>
        <v/>
      </c>
      <c r="F78" s="39"/>
      <c r="G78" s="197"/>
      <c r="H78" s="193">
        <f t="shared" si="6"/>
        <v>1</v>
      </c>
      <c r="I78" s="193"/>
      <c r="K78" s="186" t="str">
        <f t="shared" si="7"/>
        <v/>
      </c>
      <c r="L78" s="39"/>
      <c r="M78" s="197"/>
      <c r="N78" s="193">
        <f t="shared" si="8"/>
        <v>1</v>
      </c>
      <c r="O78" s="44"/>
      <c r="P78" s="196"/>
    </row>
    <row r="79" spans="1:16" x14ac:dyDescent="0.2">
      <c r="A79" s="8">
        <f t="shared" si="9"/>
        <v>73</v>
      </c>
      <c r="B79" s="1079">
        <f>'Membership Record'!B83</f>
        <v>0</v>
      </c>
      <c r="C79" s="1079"/>
      <c r="D79" s="191">
        <f>IF('Membership Record'!N83="",'Membership Record'!E83,'Membership Record'!N83)</f>
        <v>0</v>
      </c>
      <c r="E79" s="186" t="str">
        <f t="shared" si="5"/>
        <v/>
      </c>
      <c r="F79" s="39"/>
      <c r="G79" s="197"/>
      <c r="H79" s="193">
        <f t="shared" si="6"/>
        <v>1</v>
      </c>
      <c r="I79" s="193"/>
      <c r="K79" s="186" t="str">
        <f t="shared" si="7"/>
        <v/>
      </c>
      <c r="L79" s="39"/>
      <c r="M79" s="197"/>
      <c r="N79" s="193">
        <f t="shared" si="8"/>
        <v>1</v>
      </c>
      <c r="O79" s="44"/>
      <c r="P79" s="196"/>
    </row>
    <row r="80" spans="1:16" x14ac:dyDescent="0.2">
      <c r="A80" s="8">
        <f t="shared" si="9"/>
        <v>74</v>
      </c>
      <c r="B80" s="1079">
        <f>'Membership Record'!B84</f>
        <v>0</v>
      </c>
      <c r="C80" s="1079"/>
      <c r="D80" s="191">
        <f>IF('Membership Record'!N84="",'Membership Record'!E84,'Membership Record'!N84)</f>
        <v>0</v>
      </c>
      <c r="E80" s="186" t="str">
        <f t="shared" si="5"/>
        <v/>
      </c>
      <c r="F80" s="39"/>
      <c r="G80" s="197"/>
      <c r="H80" s="193">
        <f t="shared" si="6"/>
        <v>1</v>
      </c>
      <c r="I80" s="193"/>
      <c r="K80" s="186" t="str">
        <f t="shared" si="7"/>
        <v/>
      </c>
      <c r="L80" s="39"/>
      <c r="M80" s="197"/>
      <c r="N80" s="193">
        <f t="shared" si="8"/>
        <v>1</v>
      </c>
      <c r="O80" s="44"/>
      <c r="P80" s="196"/>
    </row>
    <row r="81" spans="1:16" x14ac:dyDescent="0.2">
      <c r="A81" s="8">
        <f t="shared" si="9"/>
        <v>75</v>
      </c>
      <c r="B81" s="1079">
        <f>'Membership Record'!B85</f>
        <v>0</v>
      </c>
      <c r="C81" s="1079"/>
      <c r="D81" s="191">
        <f>IF('Membership Record'!N85="",'Membership Record'!E85,'Membership Record'!N85)</f>
        <v>0</v>
      </c>
      <c r="E81" s="186" t="str">
        <f t="shared" si="5"/>
        <v/>
      </c>
      <c r="F81" s="39"/>
      <c r="G81" s="197"/>
      <c r="H81" s="193">
        <f t="shared" si="6"/>
        <v>1</v>
      </c>
      <c r="I81" s="193"/>
      <c r="K81" s="186" t="str">
        <f t="shared" si="7"/>
        <v/>
      </c>
      <c r="L81" s="39"/>
      <c r="M81" s="197"/>
      <c r="N81" s="193">
        <f t="shared" si="8"/>
        <v>1</v>
      </c>
      <c r="O81" s="44"/>
      <c r="P81" s="196"/>
    </row>
    <row r="82" spans="1:16" x14ac:dyDescent="0.2">
      <c r="A82" s="8">
        <f t="shared" si="9"/>
        <v>76</v>
      </c>
      <c r="B82" s="1079">
        <f>'Membership Record'!B86</f>
        <v>0</v>
      </c>
      <c r="C82" s="1079"/>
      <c r="D82" s="191">
        <f>IF('Membership Record'!N86="",'Membership Record'!E86,'Membership Record'!N86)</f>
        <v>0</v>
      </c>
      <c r="E82" s="186" t="str">
        <f t="shared" si="5"/>
        <v/>
      </c>
      <c r="F82" s="39"/>
      <c r="G82" s="197"/>
      <c r="H82" s="193">
        <f t="shared" si="6"/>
        <v>1</v>
      </c>
      <c r="I82" s="193"/>
      <c r="K82" s="186" t="str">
        <f t="shared" si="7"/>
        <v/>
      </c>
      <c r="L82" s="39"/>
      <c r="M82" s="197"/>
      <c r="N82" s="193">
        <f t="shared" si="8"/>
        <v>1</v>
      </c>
      <c r="O82" s="44"/>
      <c r="P82" s="196"/>
    </row>
    <row r="83" spans="1:16" x14ac:dyDescent="0.2">
      <c r="A83" s="8">
        <f t="shared" si="9"/>
        <v>77</v>
      </c>
      <c r="B83" s="1079">
        <f>'Membership Record'!B87</f>
        <v>0</v>
      </c>
      <c r="C83" s="1079"/>
      <c r="D83" s="191">
        <f>IF('Membership Record'!N87="",'Membership Record'!E87,'Membership Record'!N87)</f>
        <v>0</v>
      </c>
      <c r="E83" s="186" t="str">
        <f t="shared" si="5"/>
        <v/>
      </c>
      <c r="F83" s="39"/>
      <c r="G83" s="197"/>
      <c r="H83" s="193">
        <f t="shared" si="6"/>
        <v>1</v>
      </c>
      <c r="I83" s="193"/>
      <c r="K83" s="186" t="str">
        <f t="shared" si="7"/>
        <v/>
      </c>
      <c r="L83" s="39"/>
      <c r="M83" s="197"/>
      <c r="N83" s="193">
        <f t="shared" si="8"/>
        <v>1</v>
      </c>
      <c r="O83" s="44"/>
      <c r="P83" s="196"/>
    </row>
    <row r="84" spans="1:16" x14ac:dyDescent="0.2">
      <c r="A84" s="8">
        <f t="shared" si="9"/>
        <v>78</v>
      </c>
      <c r="B84" s="1079">
        <f>'Membership Record'!B88</f>
        <v>0</v>
      </c>
      <c r="C84" s="1079"/>
      <c r="D84" s="191">
        <f>IF('Membership Record'!N88="",'Membership Record'!E88,'Membership Record'!N88)</f>
        <v>0</v>
      </c>
      <c r="E84" s="186" t="str">
        <f t="shared" si="5"/>
        <v/>
      </c>
      <c r="F84" s="39"/>
      <c r="G84" s="197"/>
      <c r="H84" s="193">
        <f t="shared" si="6"/>
        <v>1</v>
      </c>
      <c r="I84" s="193"/>
      <c r="K84" s="186" t="str">
        <f t="shared" si="7"/>
        <v/>
      </c>
      <c r="L84" s="39"/>
      <c r="M84" s="197"/>
      <c r="N84" s="193">
        <f t="shared" si="8"/>
        <v>1</v>
      </c>
      <c r="O84" s="44"/>
      <c r="P84" s="196"/>
    </row>
    <row r="85" spans="1:16" x14ac:dyDescent="0.2">
      <c r="A85" s="8">
        <f t="shared" si="9"/>
        <v>79</v>
      </c>
      <c r="B85" s="1079">
        <f>'Membership Record'!B89</f>
        <v>0</v>
      </c>
      <c r="C85" s="1079"/>
      <c r="D85" s="191">
        <f>IF('Membership Record'!N89="",'Membership Record'!E89,'Membership Record'!N89)</f>
        <v>0</v>
      </c>
      <c r="E85" s="186" t="str">
        <f t="shared" si="5"/>
        <v/>
      </c>
      <c r="F85" s="39"/>
      <c r="G85" s="197"/>
      <c r="H85" s="193">
        <f t="shared" si="6"/>
        <v>1</v>
      </c>
      <c r="I85" s="193"/>
      <c r="K85" s="186" t="str">
        <f t="shared" si="7"/>
        <v/>
      </c>
      <c r="L85" s="39"/>
      <c r="M85" s="197"/>
      <c r="N85" s="193">
        <f t="shared" si="8"/>
        <v>1</v>
      </c>
      <c r="O85" s="44"/>
      <c r="P85" s="196"/>
    </row>
    <row r="86" spans="1:16" x14ac:dyDescent="0.2">
      <c r="A86" s="8">
        <f t="shared" si="9"/>
        <v>80</v>
      </c>
      <c r="B86" s="1079">
        <f>'Membership Record'!B90</f>
        <v>0</v>
      </c>
      <c r="C86" s="1079"/>
      <c r="D86" s="191">
        <f>IF('Membership Record'!N90="",'Membership Record'!E90,'Membership Record'!N90)</f>
        <v>0</v>
      </c>
      <c r="E86" s="186" t="str">
        <f t="shared" si="5"/>
        <v/>
      </c>
      <c r="F86" s="39"/>
      <c r="G86" s="197"/>
      <c r="H86" s="193">
        <f t="shared" si="6"/>
        <v>1</v>
      </c>
      <c r="I86" s="193"/>
      <c r="K86" s="186" t="str">
        <f t="shared" si="7"/>
        <v/>
      </c>
      <c r="L86" s="39"/>
      <c r="M86" s="197"/>
      <c r="N86" s="193">
        <f t="shared" si="8"/>
        <v>1</v>
      </c>
      <c r="O86" s="44"/>
      <c r="P86" s="196"/>
    </row>
    <row r="87" spans="1:16" x14ac:dyDescent="0.2">
      <c r="A87" s="8">
        <f t="shared" si="9"/>
        <v>81</v>
      </c>
      <c r="B87" s="1079">
        <f>'Membership Record'!B91</f>
        <v>0</v>
      </c>
      <c r="C87" s="1079"/>
      <c r="D87" s="191">
        <f>IF('Membership Record'!N91="",'Membership Record'!E91,'Membership Record'!N91)</f>
        <v>0</v>
      </c>
      <c r="E87" s="186" t="str">
        <f t="shared" si="5"/>
        <v/>
      </c>
      <c r="F87" s="39"/>
      <c r="G87" s="197"/>
      <c r="H87" s="193">
        <f t="shared" si="6"/>
        <v>1</v>
      </c>
      <c r="I87" s="193"/>
      <c r="K87" s="186" t="str">
        <f t="shared" si="7"/>
        <v/>
      </c>
      <c r="L87" s="39"/>
      <c r="M87" s="197"/>
      <c r="N87" s="193">
        <f t="shared" si="8"/>
        <v>1</v>
      </c>
      <c r="O87" s="44"/>
      <c r="P87" s="196"/>
    </row>
    <row r="88" spans="1:16" x14ac:dyDescent="0.2">
      <c r="A88" s="8">
        <f t="shared" si="9"/>
        <v>82</v>
      </c>
      <c r="B88" s="1079">
        <f>'Membership Record'!B92</f>
        <v>0</v>
      </c>
      <c r="C88" s="1079"/>
      <c r="D88" s="191">
        <f>IF('Membership Record'!N92="",'Membership Record'!E92,'Membership Record'!N92)</f>
        <v>0</v>
      </c>
      <c r="E88" s="186" t="str">
        <f t="shared" si="5"/>
        <v/>
      </c>
      <c r="F88" s="39"/>
      <c r="G88" s="197"/>
      <c r="H88" s="193">
        <f t="shared" si="6"/>
        <v>1</v>
      </c>
      <c r="I88" s="193"/>
      <c r="K88" s="186" t="str">
        <f t="shared" si="7"/>
        <v/>
      </c>
      <c r="L88" s="39"/>
      <c r="M88" s="197"/>
      <c r="N88" s="193">
        <f t="shared" si="8"/>
        <v>1</v>
      </c>
      <c r="O88" s="44"/>
      <c r="P88" s="196"/>
    </row>
    <row r="89" spans="1:16" x14ac:dyDescent="0.2">
      <c r="A89" s="8">
        <f t="shared" si="9"/>
        <v>83</v>
      </c>
      <c r="B89" s="1079">
        <f>'Membership Record'!B93</f>
        <v>0</v>
      </c>
      <c r="C89" s="1079"/>
      <c r="D89" s="191">
        <f>IF('Membership Record'!N93="",'Membership Record'!E93,'Membership Record'!N93)</f>
        <v>0</v>
      </c>
      <c r="E89" s="186" t="str">
        <f t="shared" si="5"/>
        <v/>
      </c>
      <c r="F89" s="39"/>
      <c r="G89" s="197"/>
      <c r="H89" s="193">
        <f t="shared" si="6"/>
        <v>1</v>
      </c>
      <c r="I89" s="193"/>
      <c r="K89" s="186" t="str">
        <f t="shared" si="7"/>
        <v/>
      </c>
      <c r="L89" s="39"/>
      <c r="M89" s="197"/>
      <c r="N89" s="193">
        <f t="shared" si="8"/>
        <v>1</v>
      </c>
      <c r="O89" s="44"/>
      <c r="P89" s="196"/>
    </row>
    <row r="90" spans="1:16" x14ac:dyDescent="0.2">
      <c r="A90" s="8">
        <f t="shared" si="9"/>
        <v>84</v>
      </c>
      <c r="B90" s="1079">
        <f>'Membership Record'!B94</f>
        <v>0</v>
      </c>
      <c r="C90" s="1079"/>
      <c r="D90" s="191">
        <f>IF('Membership Record'!N94="",'Membership Record'!E94,'Membership Record'!N94)</f>
        <v>0</v>
      </c>
      <c r="E90" s="186" t="str">
        <f t="shared" si="5"/>
        <v/>
      </c>
      <c r="F90" s="39"/>
      <c r="G90" s="197"/>
      <c r="H90" s="193">
        <f t="shared" si="6"/>
        <v>1</v>
      </c>
      <c r="I90" s="193"/>
      <c r="K90" s="186" t="str">
        <f t="shared" si="7"/>
        <v/>
      </c>
      <c r="L90" s="39"/>
      <c r="M90" s="197"/>
      <c r="N90" s="193">
        <f t="shared" si="8"/>
        <v>1</v>
      </c>
      <c r="O90" s="44"/>
      <c r="P90" s="196"/>
    </row>
    <row r="91" spans="1:16" x14ac:dyDescent="0.2">
      <c r="A91" s="8">
        <f t="shared" si="9"/>
        <v>85</v>
      </c>
      <c r="B91" s="1079">
        <f>'Membership Record'!B95</f>
        <v>0</v>
      </c>
      <c r="C91" s="1079"/>
      <c r="D91" s="191">
        <f>IF('Membership Record'!N95="",'Membership Record'!E95,'Membership Record'!N95)</f>
        <v>0</v>
      </c>
      <c r="E91" s="186" t="str">
        <f t="shared" si="5"/>
        <v/>
      </c>
      <c r="F91" s="39"/>
      <c r="G91" s="197"/>
      <c r="H91" s="193">
        <f t="shared" si="6"/>
        <v>1</v>
      </c>
      <c r="I91" s="193"/>
      <c r="K91" s="186" t="str">
        <f t="shared" si="7"/>
        <v/>
      </c>
      <c r="L91" s="39"/>
      <c r="M91" s="197"/>
      <c r="N91" s="193">
        <f t="shared" si="8"/>
        <v>1</v>
      </c>
      <c r="O91" s="44"/>
      <c r="P91" s="196"/>
    </row>
    <row r="92" spans="1:16" x14ac:dyDescent="0.2">
      <c r="A92" s="8">
        <f t="shared" si="9"/>
        <v>86</v>
      </c>
      <c r="B92" s="1079">
        <f>'Membership Record'!B96</f>
        <v>0</v>
      </c>
      <c r="C92" s="1079"/>
      <c r="D92" s="191">
        <f>IF('Membership Record'!N96="",'Membership Record'!E96,'Membership Record'!N96)</f>
        <v>0</v>
      </c>
      <c r="E92" s="186" t="str">
        <f t="shared" si="5"/>
        <v/>
      </c>
      <c r="F92" s="39"/>
      <c r="G92" s="197"/>
      <c r="H92" s="193">
        <f t="shared" si="6"/>
        <v>1</v>
      </c>
      <c r="I92" s="193"/>
      <c r="K92" s="186" t="str">
        <f t="shared" si="7"/>
        <v/>
      </c>
      <c r="L92" s="39"/>
      <c r="M92" s="197"/>
      <c r="N92" s="193">
        <f t="shared" si="8"/>
        <v>1</v>
      </c>
      <c r="O92" s="44"/>
      <c r="P92" s="196"/>
    </row>
    <row r="93" spans="1:16" x14ac:dyDescent="0.2">
      <c r="A93" s="8">
        <f t="shared" si="9"/>
        <v>87</v>
      </c>
      <c r="B93" s="1079">
        <f>'Membership Record'!B97</f>
        <v>0</v>
      </c>
      <c r="C93" s="1079"/>
      <c r="D93" s="191">
        <f>IF('Membership Record'!N97="",'Membership Record'!E97,'Membership Record'!N97)</f>
        <v>0</v>
      </c>
      <c r="E93" s="186" t="str">
        <f t="shared" si="5"/>
        <v/>
      </c>
      <c r="F93" s="39"/>
      <c r="G93" s="197"/>
      <c r="H93" s="193">
        <f t="shared" si="6"/>
        <v>1</v>
      </c>
      <c r="I93" s="193"/>
      <c r="K93" s="186" t="str">
        <f t="shared" si="7"/>
        <v/>
      </c>
      <c r="L93" s="39"/>
      <c r="M93" s="197"/>
      <c r="N93" s="193">
        <f t="shared" si="8"/>
        <v>1</v>
      </c>
      <c r="O93" s="44"/>
      <c r="P93" s="196"/>
    </row>
    <row r="94" spans="1:16" x14ac:dyDescent="0.2">
      <c r="A94" s="8">
        <f t="shared" si="9"/>
        <v>88</v>
      </c>
      <c r="B94" s="1079">
        <f>'Membership Record'!B98</f>
        <v>0</v>
      </c>
      <c r="C94" s="1079"/>
      <c r="D94" s="191">
        <f>IF('Membership Record'!N98="",'Membership Record'!E98,'Membership Record'!N98)</f>
        <v>0</v>
      </c>
      <c r="E94" s="186" t="str">
        <f t="shared" si="5"/>
        <v/>
      </c>
      <c r="F94" s="39"/>
      <c r="G94" s="197"/>
      <c r="H94" s="193">
        <f t="shared" si="6"/>
        <v>1</v>
      </c>
      <c r="I94" s="193"/>
      <c r="K94" s="186" t="str">
        <f t="shared" si="7"/>
        <v/>
      </c>
      <c r="L94" s="39"/>
      <c r="M94" s="197"/>
      <c r="N94" s="193">
        <f t="shared" si="8"/>
        <v>1</v>
      </c>
      <c r="O94" s="44"/>
      <c r="P94" s="196"/>
    </row>
    <row r="95" spans="1:16" x14ac:dyDescent="0.2">
      <c r="A95" s="8">
        <f t="shared" si="9"/>
        <v>89</v>
      </c>
      <c r="B95" s="1079">
        <f>'Membership Record'!B99</f>
        <v>0</v>
      </c>
      <c r="C95" s="1079"/>
      <c r="D95" s="191">
        <f>IF('Membership Record'!N99="",'Membership Record'!E99,'Membership Record'!N99)</f>
        <v>0</v>
      </c>
      <c r="E95" s="186" t="str">
        <f t="shared" si="5"/>
        <v/>
      </c>
      <c r="F95" s="39"/>
      <c r="G95" s="197"/>
      <c r="H95" s="193">
        <f t="shared" si="6"/>
        <v>1</v>
      </c>
      <c r="I95" s="193"/>
      <c r="K95" s="186" t="str">
        <f t="shared" si="7"/>
        <v/>
      </c>
      <c r="L95" s="39"/>
      <c r="M95" s="197"/>
      <c r="N95" s="193">
        <f t="shared" si="8"/>
        <v>1</v>
      </c>
      <c r="O95" s="44"/>
      <c r="P95" s="196"/>
    </row>
    <row r="96" spans="1:16" x14ac:dyDescent="0.2">
      <c r="A96" s="8">
        <f t="shared" si="9"/>
        <v>90</v>
      </c>
      <c r="B96" s="1079">
        <f>'Membership Record'!B100</f>
        <v>0</v>
      </c>
      <c r="C96" s="1079"/>
      <c r="D96" s="191">
        <f>IF('Membership Record'!N100="",'Membership Record'!E100,'Membership Record'!N100)</f>
        <v>0</v>
      </c>
      <c r="E96" s="186" t="str">
        <f t="shared" si="5"/>
        <v/>
      </c>
      <c r="F96" s="39"/>
      <c r="G96" s="197"/>
      <c r="H96" s="193">
        <f t="shared" si="6"/>
        <v>1</v>
      </c>
      <c r="I96" s="193"/>
      <c r="K96" s="186" t="str">
        <f t="shared" si="7"/>
        <v/>
      </c>
      <c r="L96" s="39"/>
      <c r="M96" s="197"/>
      <c r="N96" s="193">
        <f t="shared" si="8"/>
        <v>1</v>
      </c>
      <c r="O96" s="44"/>
      <c r="P96" s="196"/>
    </row>
    <row r="97" spans="1:16" x14ac:dyDescent="0.2">
      <c r="A97" s="8">
        <f t="shared" si="9"/>
        <v>91</v>
      </c>
      <c r="B97" s="1079">
        <f>'Membership Record'!B101</f>
        <v>0</v>
      </c>
      <c r="C97" s="1079"/>
      <c r="D97" s="191">
        <f>IF('Membership Record'!N101="",'Membership Record'!E101,'Membership Record'!N101)</f>
        <v>0</v>
      </c>
      <c r="E97" s="186" t="str">
        <f t="shared" si="5"/>
        <v/>
      </c>
      <c r="F97" s="39"/>
      <c r="G97" s="197"/>
      <c r="H97" s="193">
        <f t="shared" si="6"/>
        <v>1</v>
      </c>
      <c r="I97" s="193"/>
      <c r="K97" s="186" t="str">
        <f t="shared" si="7"/>
        <v/>
      </c>
      <c r="L97" s="39"/>
      <c r="M97" s="197"/>
      <c r="N97" s="193">
        <f t="shared" si="8"/>
        <v>1</v>
      </c>
      <c r="O97" s="44"/>
      <c r="P97" s="196"/>
    </row>
    <row r="98" spans="1:16" x14ac:dyDescent="0.2">
      <c r="A98" s="8">
        <f t="shared" si="9"/>
        <v>92</v>
      </c>
      <c r="B98" s="1079">
        <f>'Membership Record'!B102</f>
        <v>0</v>
      </c>
      <c r="C98" s="1079"/>
      <c r="D98" s="191">
        <f>IF('Membership Record'!N102="",'Membership Record'!E102,'Membership Record'!N102)</f>
        <v>0</v>
      </c>
      <c r="E98" s="186" t="str">
        <f t="shared" si="5"/>
        <v/>
      </c>
      <c r="F98" s="39"/>
      <c r="G98" s="197"/>
      <c r="H98" s="193">
        <f t="shared" si="6"/>
        <v>1</v>
      </c>
      <c r="I98" s="193"/>
      <c r="K98" s="186" t="str">
        <f t="shared" si="7"/>
        <v/>
      </c>
      <c r="L98" s="39"/>
      <c r="M98" s="197"/>
      <c r="N98" s="193">
        <f t="shared" si="8"/>
        <v>1</v>
      </c>
      <c r="O98" s="44"/>
      <c r="P98" s="196"/>
    </row>
    <row r="99" spans="1:16" x14ac:dyDescent="0.2">
      <c r="A99" s="8">
        <f t="shared" si="9"/>
        <v>93</v>
      </c>
      <c r="B99" s="1079">
        <f>'Membership Record'!B103</f>
        <v>0</v>
      </c>
      <c r="C99" s="1079"/>
      <c r="D99" s="191">
        <f>IF('Membership Record'!N103="",'Membership Record'!E103,'Membership Record'!N103)</f>
        <v>0</v>
      </c>
      <c r="E99" s="186" t="str">
        <f t="shared" si="5"/>
        <v/>
      </c>
      <c r="F99" s="39"/>
      <c r="G99" s="197"/>
      <c r="H99" s="193">
        <f t="shared" si="6"/>
        <v>1</v>
      </c>
      <c r="I99" s="193"/>
      <c r="K99" s="186" t="str">
        <f t="shared" si="7"/>
        <v/>
      </c>
      <c r="L99" s="39"/>
      <c r="M99" s="197"/>
      <c r="N99" s="193">
        <f t="shared" si="8"/>
        <v>1</v>
      </c>
      <c r="O99" s="44"/>
      <c r="P99" s="196"/>
    </row>
    <row r="100" spans="1:16" x14ac:dyDescent="0.2">
      <c r="A100" s="8">
        <f t="shared" si="9"/>
        <v>94</v>
      </c>
      <c r="B100" s="1079">
        <f>'Membership Record'!B104</f>
        <v>0</v>
      </c>
      <c r="C100" s="1079"/>
      <c r="D100" s="191">
        <f>IF('Membership Record'!N104="",'Membership Record'!E104,'Membership Record'!N104)</f>
        <v>0</v>
      </c>
      <c r="E100" s="186" t="str">
        <f t="shared" si="5"/>
        <v/>
      </c>
      <c r="F100" s="39"/>
      <c r="G100" s="197"/>
      <c r="H100" s="193">
        <f t="shared" si="6"/>
        <v>1</v>
      </c>
      <c r="I100" s="193"/>
      <c r="K100" s="186" t="str">
        <f t="shared" si="7"/>
        <v/>
      </c>
      <c r="L100" s="39"/>
      <c r="M100" s="197"/>
      <c r="N100" s="193">
        <f t="shared" si="8"/>
        <v>1</v>
      </c>
      <c r="O100" s="44"/>
      <c r="P100" s="196"/>
    </row>
    <row r="101" spans="1:16" x14ac:dyDescent="0.2">
      <c r="A101" s="8">
        <f t="shared" si="9"/>
        <v>95</v>
      </c>
      <c r="B101" s="1079">
        <f>'Membership Record'!B105</f>
        <v>0</v>
      </c>
      <c r="C101" s="1079"/>
      <c r="D101" s="191">
        <f>IF('Membership Record'!N105="",'Membership Record'!E105,'Membership Record'!N105)</f>
        <v>0</v>
      </c>
      <c r="E101" s="186" t="str">
        <f t="shared" si="5"/>
        <v/>
      </c>
      <c r="F101" s="39"/>
      <c r="G101" s="197"/>
      <c r="H101" s="193">
        <f t="shared" si="6"/>
        <v>1</v>
      </c>
      <c r="I101" s="193"/>
      <c r="K101" s="186" t="str">
        <f t="shared" si="7"/>
        <v/>
      </c>
      <c r="L101" s="39"/>
      <c r="M101" s="197"/>
      <c r="N101" s="193">
        <f t="shared" si="8"/>
        <v>1</v>
      </c>
      <c r="O101" s="44"/>
      <c r="P101" s="196"/>
    </row>
    <row r="102" spans="1:16" x14ac:dyDescent="0.2">
      <c r="A102" s="8">
        <f t="shared" si="9"/>
        <v>96</v>
      </c>
      <c r="B102" s="1079">
        <f>'Membership Record'!B106</f>
        <v>0</v>
      </c>
      <c r="C102" s="1079"/>
      <c r="D102" s="191">
        <f>IF('Membership Record'!N106="",'Membership Record'!E106,'Membership Record'!N106)</f>
        <v>0</v>
      </c>
      <c r="E102" s="186" t="str">
        <f t="shared" si="5"/>
        <v/>
      </c>
      <c r="F102" s="39"/>
      <c r="G102" s="197"/>
      <c r="H102" s="193">
        <f t="shared" si="6"/>
        <v>1</v>
      </c>
      <c r="I102" s="193"/>
      <c r="K102" s="186" t="str">
        <f t="shared" si="7"/>
        <v/>
      </c>
      <c r="L102" s="39"/>
      <c r="M102" s="197"/>
      <c r="N102" s="193">
        <f t="shared" si="8"/>
        <v>1</v>
      </c>
      <c r="O102" s="44"/>
      <c r="P102" s="196"/>
    </row>
    <row r="103" spans="1:16" x14ac:dyDescent="0.2">
      <c r="A103" s="8">
        <f t="shared" si="9"/>
        <v>97</v>
      </c>
      <c r="B103" s="1079">
        <f>'Membership Record'!B107</f>
        <v>0</v>
      </c>
      <c r="C103" s="1079"/>
      <c r="D103" s="191">
        <f>IF('Membership Record'!N107="",'Membership Record'!E107,'Membership Record'!N107)</f>
        <v>0</v>
      </c>
      <c r="E103" s="186" t="str">
        <f t="shared" si="5"/>
        <v/>
      </c>
      <c r="F103" s="39"/>
      <c r="G103" s="197"/>
      <c r="H103" s="193">
        <f t="shared" si="6"/>
        <v>1</v>
      </c>
      <c r="I103" s="193"/>
      <c r="K103" s="186" t="str">
        <f t="shared" si="7"/>
        <v/>
      </c>
      <c r="L103" s="39"/>
      <c r="M103" s="197"/>
      <c r="N103" s="193">
        <f t="shared" si="8"/>
        <v>1</v>
      </c>
      <c r="O103" s="44"/>
      <c r="P103" s="196"/>
    </row>
    <row r="104" spans="1:16" x14ac:dyDescent="0.2">
      <c r="A104" s="8">
        <f t="shared" si="9"/>
        <v>98</v>
      </c>
      <c r="B104" s="1079">
        <f>'Membership Record'!B108</f>
        <v>0</v>
      </c>
      <c r="C104" s="1079"/>
      <c r="D104" s="191">
        <f>IF('Membership Record'!N108="",'Membership Record'!E108,'Membership Record'!N108)</f>
        <v>0</v>
      </c>
      <c r="E104" s="186" t="str">
        <f t="shared" si="5"/>
        <v/>
      </c>
      <c r="F104" s="39"/>
      <c r="G104" s="197"/>
      <c r="H104" s="193">
        <f t="shared" si="6"/>
        <v>1</v>
      </c>
      <c r="I104" s="193"/>
      <c r="K104" s="186" t="str">
        <f t="shared" si="7"/>
        <v/>
      </c>
      <c r="L104" s="39"/>
      <c r="M104" s="197"/>
      <c r="N104" s="193">
        <f t="shared" si="8"/>
        <v>1</v>
      </c>
      <c r="O104" s="44"/>
      <c r="P104" s="196"/>
    </row>
    <row r="105" spans="1:16" x14ac:dyDescent="0.2">
      <c r="A105" s="8">
        <f t="shared" si="9"/>
        <v>99</v>
      </c>
      <c r="B105" s="1079">
        <f>'Membership Record'!B109</f>
        <v>0</v>
      </c>
      <c r="C105" s="1079"/>
      <c r="D105" s="191">
        <f>IF('Membership Record'!N109="",'Membership Record'!E109,'Membership Record'!N109)</f>
        <v>0</v>
      </c>
      <c r="E105" s="186" t="str">
        <f t="shared" si="5"/>
        <v/>
      </c>
      <c r="F105" s="39"/>
      <c r="G105" s="197"/>
      <c r="H105" s="193">
        <f t="shared" si="6"/>
        <v>1</v>
      </c>
      <c r="I105" s="193"/>
      <c r="K105" s="186" t="str">
        <f t="shared" si="7"/>
        <v/>
      </c>
      <c r="L105" s="39"/>
      <c r="M105" s="197"/>
      <c r="N105" s="193">
        <f t="shared" si="8"/>
        <v>1</v>
      </c>
      <c r="O105" s="44"/>
      <c r="P105" s="196"/>
    </row>
    <row r="106" spans="1:16" x14ac:dyDescent="0.2">
      <c r="A106" s="8">
        <f t="shared" si="9"/>
        <v>100</v>
      </c>
      <c r="B106" s="1079">
        <f>'Membership Record'!B110</f>
        <v>0</v>
      </c>
      <c r="C106" s="1079"/>
      <c r="D106" s="191">
        <f>IF('Membership Record'!N110="",'Membership Record'!E110,'Membership Record'!N110)</f>
        <v>0</v>
      </c>
      <c r="E106" s="186" t="str">
        <f t="shared" si="5"/>
        <v/>
      </c>
      <c r="F106" s="39"/>
      <c r="G106" s="197"/>
      <c r="H106" s="193">
        <f t="shared" si="6"/>
        <v>1</v>
      </c>
      <c r="I106" s="193"/>
      <c r="K106" s="186" t="str">
        <f t="shared" si="7"/>
        <v/>
      </c>
      <c r="L106" s="39"/>
      <c r="M106" s="197"/>
      <c r="N106" s="193">
        <f t="shared" si="8"/>
        <v>1</v>
      </c>
      <c r="O106" s="44"/>
      <c r="P106" s="196"/>
    </row>
    <row r="107" spans="1:16" x14ac:dyDescent="0.2">
      <c r="A107" s="8">
        <f t="shared" si="9"/>
        <v>101</v>
      </c>
      <c r="B107" s="1079">
        <f>'Membership Record'!B111</f>
        <v>0</v>
      </c>
      <c r="C107" s="1079"/>
      <c r="D107" s="191">
        <f>IF('Membership Record'!N111="",'Membership Record'!E111,'Membership Record'!N111)</f>
        <v>0</v>
      </c>
      <c r="E107" s="186" t="str">
        <f t="shared" si="5"/>
        <v/>
      </c>
      <c r="F107" s="39"/>
      <c r="G107" s="197"/>
      <c r="H107" s="193">
        <f t="shared" si="6"/>
        <v>1</v>
      </c>
      <c r="I107" s="193"/>
      <c r="K107" s="186" t="str">
        <f t="shared" si="7"/>
        <v/>
      </c>
      <c r="L107" s="39"/>
      <c r="M107" s="197"/>
      <c r="N107" s="193">
        <f t="shared" si="8"/>
        <v>1</v>
      </c>
      <c r="O107" s="44"/>
      <c r="P107" s="196"/>
    </row>
    <row r="108" spans="1:16" x14ac:dyDescent="0.2">
      <c r="A108" s="8">
        <f t="shared" si="9"/>
        <v>102</v>
      </c>
      <c r="B108" s="1079">
        <f>'Membership Record'!B112</f>
        <v>0</v>
      </c>
      <c r="C108" s="1079"/>
      <c r="D108" s="191">
        <f>IF('Membership Record'!N112="",'Membership Record'!E112,'Membership Record'!N112)</f>
        <v>0</v>
      </c>
      <c r="E108" s="186" t="str">
        <f t="shared" si="5"/>
        <v/>
      </c>
      <c r="F108" s="39"/>
      <c r="G108" s="197"/>
      <c r="H108" s="193">
        <f t="shared" si="6"/>
        <v>1</v>
      </c>
      <c r="I108" s="193"/>
      <c r="K108" s="186" t="str">
        <f t="shared" si="7"/>
        <v/>
      </c>
      <c r="L108" s="39"/>
      <c r="M108" s="197"/>
      <c r="N108" s="193">
        <f t="shared" si="8"/>
        <v>1</v>
      </c>
      <c r="O108" s="44"/>
      <c r="P108" s="196"/>
    </row>
    <row r="109" spans="1:16" x14ac:dyDescent="0.2">
      <c r="A109" s="8">
        <f t="shared" si="9"/>
        <v>103</v>
      </c>
      <c r="B109" s="1079">
        <f>'Membership Record'!B113</f>
        <v>0</v>
      </c>
      <c r="C109" s="1079"/>
      <c r="D109" s="191">
        <f>IF('Membership Record'!N113="",'Membership Record'!E113,'Membership Record'!N113)</f>
        <v>0</v>
      </c>
      <c r="E109" s="186" t="str">
        <f t="shared" si="5"/>
        <v/>
      </c>
      <c r="F109" s="39"/>
      <c r="G109" s="197"/>
      <c r="H109" s="193">
        <f t="shared" si="6"/>
        <v>1</v>
      </c>
      <c r="I109" s="193"/>
      <c r="K109" s="186" t="str">
        <f t="shared" si="7"/>
        <v/>
      </c>
      <c r="L109" s="39"/>
      <c r="M109" s="197"/>
      <c r="N109" s="193">
        <f t="shared" si="8"/>
        <v>1</v>
      </c>
      <c r="O109" s="44"/>
      <c r="P109" s="196"/>
    </row>
    <row r="110" spans="1:16" x14ac:dyDescent="0.2">
      <c r="A110" s="8">
        <f t="shared" si="9"/>
        <v>104</v>
      </c>
      <c r="B110" s="1079">
        <f>'Membership Record'!B114</f>
        <v>0</v>
      </c>
      <c r="C110" s="1079"/>
      <c r="D110" s="191">
        <f>IF('Membership Record'!N114="",'Membership Record'!E114,'Membership Record'!N114)</f>
        <v>0</v>
      </c>
      <c r="E110" s="186" t="str">
        <f t="shared" si="5"/>
        <v/>
      </c>
      <c r="F110" s="39"/>
      <c r="G110" s="197"/>
      <c r="H110" s="193">
        <f t="shared" si="6"/>
        <v>1</v>
      </c>
      <c r="I110" s="193"/>
      <c r="K110" s="186" t="str">
        <f t="shared" si="7"/>
        <v/>
      </c>
      <c r="L110" s="39"/>
      <c r="M110" s="197"/>
      <c r="N110" s="193">
        <f t="shared" si="8"/>
        <v>1</v>
      </c>
      <c r="O110" s="44"/>
      <c r="P110" s="196"/>
    </row>
    <row r="111" spans="1:16" x14ac:dyDescent="0.2">
      <c r="A111" s="8">
        <f t="shared" si="9"/>
        <v>105</v>
      </c>
      <c r="B111" s="1079">
        <f>'Membership Record'!B115</f>
        <v>0</v>
      </c>
      <c r="C111" s="1079"/>
      <c r="D111" s="191">
        <f>IF('Membership Record'!N115="",'Membership Record'!E115,'Membership Record'!N115)</f>
        <v>0</v>
      </c>
      <c r="E111" s="186" t="str">
        <f t="shared" si="5"/>
        <v/>
      </c>
      <c r="F111" s="39"/>
      <c r="G111" s="197"/>
      <c r="H111" s="193">
        <f t="shared" si="6"/>
        <v>1</v>
      </c>
      <c r="I111" s="193"/>
      <c r="K111" s="186" t="str">
        <f t="shared" si="7"/>
        <v/>
      </c>
      <c r="L111" s="39"/>
      <c r="M111" s="197"/>
      <c r="N111" s="193">
        <f t="shared" si="8"/>
        <v>1</v>
      </c>
      <c r="O111" s="44"/>
      <c r="P111" s="196"/>
    </row>
    <row r="112" spans="1:16" x14ac:dyDescent="0.2">
      <c r="A112" s="8">
        <f t="shared" si="9"/>
        <v>106</v>
      </c>
      <c r="B112" s="1079">
        <f>'Membership Record'!B116</f>
        <v>0</v>
      </c>
      <c r="C112" s="1079"/>
      <c r="D112" s="191">
        <f>IF('Membership Record'!N116="",'Membership Record'!E116,'Membership Record'!N116)</f>
        <v>0</v>
      </c>
      <c r="E112" s="186" t="str">
        <f t="shared" si="5"/>
        <v/>
      </c>
      <c r="F112" s="39"/>
      <c r="G112" s="197"/>
      <c r="H112" s="193">
        <f t="shared" si="6"/>
        <v>1</v>
      </c>
      <c r="I112" s="193"/>
      <c r="K112" s="186" t="str">
        <f t="shared" si="7"/>
        <v/>
      </c>
      <c r="L112" s="39"/>
      <c r="M112" s="197"/>
      <c r="N112" s="193">
        <f t="shared" si="8"/>
        <v>1</v>
      </c>
      <c r="O112" s="44"/>
      <c r="P112" s="196"/>
    </row>
    <row r="113" spans="1:16" x14ac:dyDescent="0.2">
      <c r="A113" s="8">
        <f t="shared" si="9"/>
        <v>107</v>
      </c>
      <c r="B113" s="1079">
        <f>'Membership Record'!B117</f>
        <v>0</v>
      </c>
      <c r="C113" s="1079"/>
      <c r="D113" s="191">
        <f>IF('Membership Record'!N117="",'Membership Record'!E117,'Membership Record'!N117)</f>
        <v>0</v>
      </c>
      <c r="E113" s="186" t="str">
        <f t="shared" si="5"/>
        <v/>
      </c>
      <c r="F113" s="39"/>
      <c r="G113" s="197"/>
      <c r="H113" s="193">
        <f t="shared" si="6"/>
        <v>1</v>
      </c>
      <c r="I113" s="193"/>
      <c r="K113" s="186" t="str">
        <f t="shared" si="7"/>
        <v/>
      </c>
      <c r="L113" s="39"/>
      <c r="M113" s="197"/>
      <c r="N113" s="193">
        <f t="shared" si="8"/>
        <v>1</v>
      </c>
      <c r="O113" s="44"/>
      <c r="P113" s="196"/>
    </row>
    <row r="114" spans="1:16" x14ac:dyDescent="0.2">
      <c r="A114" s="8">
        <f t="shared" si="9"/>
        <v>108</v>
      </c>
      <c r="B114" s="1079">
        <f>'Membership Record'!B118</f>
        <v>0</v>
      </c>
      <c r="C114" s="1079"/>
      <c r="D114" s="191">
        <f>IF('Membership Record'!N118="",'Membership Record'!E118,'Membership Record'!N118)</f>
        <v>0</v>
      </c>
      <c r="E114" s="186" t="str">
        <f t="shared" si="5"/>
        <v/>
      </c>
      <c r="F114" s="39"/>
      <c r="G114" s="197"/>
      <c r="H114" s="193">
        <f t="shared" si="6"/>
        <v>1</v>
      </c>
      <c r="I114" s="193"/>
      <c r="K114" s="186" t="str">
        <f t="shared" si="7"/>
        <v/>
      </c>
      <c r="L114" s="39"/>
      <c r="M114" s="197"/>
      <c r="N114" s="193">
        <f t="shared" si="8"/>
        <v>1</v>
      </c>
      <c r="O114" s="44"/>
      <c r="P114" s="196"/>
    </row>
    <row r="115" spans="1:16" x14ac:dyDescent="0.2">
      <c r="A115" s="8">
        <f t="shared" si="9"/>
        <v>109</v>
      </c>
      <c r="B115" s="1079">
        <f>'Membership Record'!B119</f>
        <v>0</v>
      </c>
      <c r="C115" s="1079"/>
      <c r="D115" s="191">
        <f>IF('Membership Record'!N119="",'Membership Record'!E119,'Membership Record'!N119)</f>
        <v>0</v>
      </c>
      <c r="E115" s="186" t="str">
        <f t="shared" si="5"/>
        <v/>
      </c>
      <c r="F115" s="39"/>
      <c r="G115" s="197"/>
      <c r="H115" s="193">
        <f t="shared" si="6"/>
        <v>1</v>
      </c>
      <c r="I115" s="193"/>
      <c r="K115" s="186" t="str">
        <f t="shared" si="7"/>
        <v/>
      </c>
      <c r="L115" s="39"/>
      <c r="M115" s="197"/>
      <c r="N115" s="193">
        <f t="shared" si="8"/>
        <v>1</v>
      </c>
      <c r="O115" s="44"/>
      <c r="P115" s="196"/>
    </row>
    <row r="116" spans="1:16" x14ac:dyDescent="0.2">
      <c r="A116" s="8">
        <f t="shared" si="9"/>
        <v>110</v>
      </c>
      <c r="B116" s="1079">
        <f>'Membership Record'!B120</f>
        <v>0</v>
      </c>
      <c r="C116" s="1079"/>
      <c r="D116" s="191">
        <f>IF('Membership Record'!N120="",'Membership Record'!E120,'Membership Record'!N120)</f>
        <v>0</v>
      </c>
      <c r="E116" s="186" t="str">
        <f t="shared" si="5"/>
        <v/>
      </c>
      <c r="F116" s="39"/>
      <c r="G116" s="197"/>
      <c r="H116" s="193">
        <f t="shared" si="6"/>
        <v>1</v>
      </c>
      <c r="I116" s="193"/>
      <c r="K116" s="186" t="str">
        <f t="shared" si="7"/>
        <v/>
      </c>
      <c r="L116" s="39"/>
      <c r="M116" s="197"/>
      <c r="N116" s="193">
        <f t="shared" si="8"/>
        <v>1</v>
      </c>
      <c r="O116" s="44"/>
      <c r="P116" s="196"/>
    </row>
    <row r="117" spans="1:16" x14ac:dyDescent="0.2">
      <c r="A117" s="8">
        <f t="shared" si="9"/>
        <v>111</v>
      </c>
      <c r="B117" s="1079">
        <f>'Membership Record'!B121</f>
        <v>0</v>
      </c>
      <c r="C117" s="1079"/>
      <c r="D117" s="191">
        <f>IF('Membership Record'!N121="",'Membership Record'!E121,'Membership Record'!N121)</f>
        <v>0</v>
      </c>
      <c r="E117" s="186" t="str">
        <f t="shared" si="5"/>
        <v/>
      </c>
      <c r="F117" s="39"/>
      <c r="G117" s="197"/>
      <c r="H117" s="193">
        <f t="shared" si="6"/>
        <v>1</v>
      </c>
      <c r="I117" s="193"/>
      <c r="K117" s="186" t="str">
        <f t="shared" si="7"/>
        <v/>
      </c>
      <c r="L117" s="39"/>
      <c r="M117" s="197"/>
      <c r="N117" s="193">
        <f t="shared" si="8"/>
        <v>1</v>
      </c>
      <c r="O117" s="44"/>
      <c r="P117" s="196"/>
    </row>
    <row r="118" spans="1:16" x14ac:dyDescent="0.2">
      <c r="A118" s="8">
        <f t="shared" si="9"/>
        <v>112</v>
      </c>
      <c r="B118" s="1079">
        <f>'Membership Record'!B122</f>
        <v>0</v>
      </c>
      <c r="C118" s="1079"/>
      <c r="D118" s="191">
        <f>IF('Membership Record'!N122="",'Membership Record'!E122,'Membership Record'!N122)</f>
        <v>0</v>
      </c>
      <c r="E118" s="186" t="str">
        <f t="shared" si="5"/>
        <v/>
      </c>
      <c r="F118" s="39"/>
      <c r="G118" s="197"/>
      <c r="H118" s="193">
        <f t="shared" si="6"/>
        <v>1</v>
      </c>
      <c r="I118" s="193"/>
      <c r="K118" s="186" t="str">
        <f t="shared" si="7"/>
        <v/>
      </c>
      <c r="L118" s="39"/>
      <c r="M118" s="197"/>
      <c r="N118" s="193">
        <f t="shared" si="8"/>
        <v>1</v>
      </c>
      <c r="O118" s="44"/>
      <c r="P118" s="196"/>
    </row>
    <row r="119" spans="1:16" x14ac:dyDescent="0.2">
      <c r="A119" s="8">
        <f t="shared" si="9"/>
        <v>113</v>
      </c>
      <c r="B119" s="1079">
        <f>'Membership Record'!B123</f>
        <v>0</v>
      </c>
      <c r="C119" s="1079"/>
      <c r="D119" s="191">
        <f>IF('Membership Record'!N123="",'Membership Record'!E123,'Membership Record'!N123)</f>
        <v>0</v>
      </c>
      <c r="E119" s="186" t="str">
        <f t="shared" si="5"/>
        <v/>
      </c>
      <c r="F119" s="39"/>
      <c r="G119" s="197"/>
      <c r="H119" s="193">
        <f t="shared" si="6"/>
        <v>1</v>
      </c>
      <c r="I119" s="193"/>
      <c r="K119" s="186" t="str">
        <f t="shared" si="7"/>
        <v/>
      </c>
      <c r="L119" s="39"/>
      <c r="M119" s="197"/>
      <c r="N119" s="193">
        <f t="shared" si="8"/>
        <v>1</v>
      </c>
      <c r="O119" s="44"/>
      <c r="P119" s="196"/>
    </row>
    <row r="120" spans="1:16" x14ac:dyDescent="0.2">
      <c r="A120" s="8">
        <f t="shared" si="9"/>
        <v>114</v>
      </c>
      <c r="B120" s="1079">
        <f>'Membership Record'!B124</f>
        <v>0</v>
      </c>
      <c r="C120" s="1079"/>
      <c r="D120" s="191">
        <f>IF('Membership Record'!N124="",'Membership Record'!E124,'Membership Record'!N124)</f>
        <v>0</v>
      </c>
      <c r="E120" s="186" t="str">
        <f t="shared" si="5"/>
        <v/>
      </c>
      <c r="F120" s="39"/>
      <c r="G120" s="197"/>
      <c r="H120" s="193">
        <f t="shared" si="6"/>
        <v>1</v>
      </c>
      <c r="I120" s="193"/>
      <c r="K120" s="186" t="str">
        <f t="shared" si="7"/>
        <v/>
      </c>
      <c r="L120" s="39"/>
      <c r="M120" s="197"/>
      <c r="N120" s="193">
        <f t="shared" si="8"/>
        <v>1</v>
      </c>
      <c r="O120" s="44"/>
      <c r="P120" s="196"/>
    </row>
    <row r="121" spans="1:16" x14ac:dyDescent="0.2">
      <c r="A121" s="8">
        <f t="shared" si="9"/>
        <v>115</v>
      </c>
      <c r="B121" s="1079">
        <f>'Membership Record'!B125</f>
        <v>0</v>
      </c>
      <c r="C121" s="1079"/>
      <c r="D121" s="191">
        <f>IF('Membership Record'!N125="",'Membership Record'!E125,'Membership Record'!N125)</f>
        <v>0</v>
      </c>
      <c r="E121" s="186" t="str">
        <f t="shared" si="5"/>
        <v/>
      </c>
      <c r="F121" s="39"/>
      <c r="G121" s="197"/>
      <c r="H121" s="193">
        <f t="shared" si="6"/>
        <v>1</v>
      </c>
      <c r="I121" s="193"/>
      <c r="K121" s="186" t="str">
        <f t="shared" si="7"/>
        <v/>
      </c>
      <c r="L121" s="39"/>
      <c r="M121" s="197"/>
      <c r="N121" s="193">
        <f t="shared" si="8"/>
        <v>1</v>
      </c>
      <c r="O121" s="44"/>
      <c r="P121" s="196"/>
    </row>
    <row r="122" spans="1:16" x14ac:dyDescent="0.2">
      <c r="A122" s="8">
        <f t="shared" si="9"/>
        <v>116</v>
      </c>
      <c r="B122" s="1079">
        <f>'Membership Record'!B126</f>
        <v>0</v>
      </c>
      <c r="C122" s="1079"/>
      <c r="D122" s="191">
        <f>IF('Membership Record'!N126="",'Membership Record'!E126,'Membership Record'!N126)</f>
        <v>0</v>
      </c>
      <c r="E122" s="186" t="str">
        <f t="shared" si="5"/>
        <v/>
      </c>
      <c r="F122" s="39"/>
      <c r="G122" s="197"/>
      <c r="H122" s="193">
        <f t="shared" si="6"/>
        <v>1</v>
      </c>
      <c r="I122" s="193"/>
      <c r="K122" s="186" t="str">
        <f t="shared" si="7"/>
        <v/>
      </c>
      <c r="L122" s="39"/>
      <c r="M122" s="197"/>
      <c r="N122" s="193">
        <f t="shared" si="8"/>
        <v>1</v>
      </c>
      <c r="O122" s="44"/>
      <c r="P122" s="196"/>
    </row>
    <row r="123" spans="1:16" x14ac:dyDescent="0.2">
      <c r="A123" s="8">
        <f t="shared" si="9"/>
        <v>117</v>
      </c>
      <c r="B123" s="1079">
        <f>'Membership Record'!B127</f>
        <v>0</v>
      </c>
      <c r="C123" s="1079"/>
      <c r="D123" s="191">
        <f>IF('Membership Record'!N127="",'Membership Record'!E127,'Membership Record'!N127)</f>
        <v>0</v>
      </c>
      <c r="E123" s="186" t="str">
        <f t="shared" si="5"/>
        <v/>
      </c>
      <c r="F123" s="39"/>
      <c r="G123" s="197"/>
      <c r="H123" s="193">
        <f t="shared" si="6"/>
        <v>1</v>
      </c>
      <c r="I123" s="193"/>
      <c r="K123" s="186" t="str">
        <f t="shared" si="7"/>
        <v/>
      </c>
      <c r="L123" s="39"/>
      <c r="M123" s="197"/>
      <c r="N123" s="193">
        <f t="shared" si="8"/>
        <v>1</v>
      </c>
      <c r="O123" s="44"/>
      <c r="P123" s="196"/>
    </row>
    <row r="124" spans="1:16" x14ac:dyDescent="0.2">
      <c r="A124" s="8">
        <f t="shared" si="9"/>
        <v>118</v>
      </c>
      <c r="B124" s="1079">
        <f>'Membership Record'!B128</f>
        <v>0</v>
      </c>
      <c r="C124" s="1079"/>
      <c r="D124" s="191">
        <f>IF('Membership Record'!N128="",'Membership Record'!E128,'Membership Record'!N128)</f>
        <v>0</v>
      </c>
      <c r="E124" s="186" t="str">
        <f t="shared" si="5"/>
        <v/>
      </c>
      <c r="F124" s="39"/>
      <c r="G124" s="197"/>
      <c r="H124" s="193">
        <f t="shared" si="6"/>
        <v>1</v>
      </c>
      <c r="I124" s="193"/>
      <c r="K124" s="186" t="str">
        <f t="shared" si="7"/>
        <v/>
      </c>
      <c r="L124" s="39"/>
      <c r="M124" s="197"/>
      <c r="N124" s="193">
        <f t="shared" si="8"/>
        <v>1</v>
      </c>
      <c r="O124" s="44"/>
      <c r="P124" s="196"/>
    </row>
    <row r="125" spans="1:16" x14ac:dyDescent="0.2">
      <c r="A125" s="8">
        <f t="shared" si="9"/>
        <v>119</v>
      </c>
      <c r="B125" s="1079">
        <f>'Membership Record'!B129</f>
        <v>0</v>
      </c>
      <c r="C125" s="1079"/>
      <c r="D125" s="191">
        <f>IF('Membership Record'!N129="",'Membership Record'!E129,'Membership Record'!N129)</f>
        <v>0</v>
      </c>
      <c r="E125" s="186" t="str">
        <f t="shared" si="5"/>
        <v/>
      </c>
      <c r="F125" s="39"/>
      <c r="G125" s="197"/>
      <c r="H125" s="193">
        <f t="shared" si="6"/>
        <v>1</v>
      </c>
      <c r="I125" s="193"/>
      <c r="K125" s="186" t="str">
        <f t="shared" si="7"/>
        <v/>
      </c>
      <c r="L125" s="39"/>
      <c r="M125" s="197"/>
      <c r="N125" s="193">
        <f t="shared" si="8"/>
        <v>1</v>
      </c>
      <c r="O125" s="44"/>
      <c r="P125" s="196"/>
    </row>
    <row r="126" spans="1:16" x14ac:dyDescent="0.2">
      <c r="A126" s="8">
        <f t="shared" si="9"/>
        <v>120</v>
      </c>
      <c r="B126" s="1079">
        <f>'Membership Record'!B130</f>
        <v>0</v>
      </c>
      <c r="C126" s="1079"/>
      <c r="D126" s="191">
        <f>IF('Membership Record'!N130="",'Membership Record'!E130,'Membership Record'!N130)</f>
        <v>0</v>
      </c>
      <c r="E126" s="186" t="str">
        <f t="shared" si="5"/>
        <v/>
      </c>
      <c r="F126" s="39"/>
      <c r="G126" s="197"/>
      <c r="H126" s="193">
        <f t="shared" si="6"/>
        <v>1</v>
      </c>
      <c r="I126" s="193"/>
      <c r="K126" s="186" t="str">
        <f t="shared" si="7"/>
        <v/>
      </c>
      <c r="L126" s="39"/>
      <c r="M126" s="197"/>
      <c r="N126" s="193">
        <f t="shared" si="8"/>
        <v>1</v>
      </c>
      <c r="O126" s="44"/>
      <c r="P126" s="196"/>
    </row>
    <row r="127" spans="1:16" x14ac:dyDescent="0.2">
      <c r="A127" s="8">
        <f t="shared" si="9"/>
        <v>121</v>
      </c>
      <c r="B127" s="1079">
        <f>'Membership Record'!B131</f>
        <v>0</v>
      </c>
      <c r="C127" s="1079"/>
      <c r="D127" s="191">
        <f>IF('Membership Record'!N131="",'Membership Record'!E131,'Membership Record'!N131)</f>
        <v>0</v>
      </c>
      <c r="E127" s="186" t="str">
        <f t="shared" si="5"/>
        <v/>
      </c>
      <c r="F127" s="39"/>
      <c r="G127" s="197"/>
      <c r="H127" s="193">
        <f t="shared" si="6"/>
        <v>1</v>
      </c>
      <c r="I127" s="193"/>
      <c r="K127" s="186" t="str">
        <f t="shared" si="7"/>
        <v/>
      </c>
      <c r="L127" s="39"/>
      <c r="M127" s="197"/>
      <c r="N127" s="193">
        <f t="shared" si="8"/>
        <v>1</v>
      </c>
      <c r="O127" s="44"/>
      <c r="P127" s="196"/>
    </row>
    <row r="128" spans="1:16" x14ac:dyDescent="0.2">
      <c r="A128" s="8">
        <f t="shared" si="9"/>
        <v>122</v>
      </c>
      <c r="B128" s="1079">
        <f>'Membership Record'!B132</f>
        <v>0</v>
      </c>
      <c r="C128" s="1079"/>
      <c r="D128" s="191">
        <f>IF('Membership Record'!N132="",'Membership Record'!E132,'Membership Record'!N132)</f>
        <v>0</v>
      </c>
      <c r="E128" s="186" t="str">
        <f t="shared" si="5"/>
        <v/>
      </c>
      <c r="F128" s="39"/>
      <c r="G128" s="197"/>
      <c r="H128" s="193">
        <f t="shared" si="6"/>
        <v>1</v>
      </c>
      <c r="I128" s="193"/>
      <c r="K128" s="186" t="str">
        <f t="shared" si="7"/>
        <v/>
      </c>
      <c r="L128" s="39"/>
      <c r="M128" s="197"/>
      <c r="N128" s="193">
        <f t="shared" si="8"/>
        <v>1</v>
      </c>
      <c r="O128" s="44"/>
      <c r="P128" s="196"/>
    </row>
    <row r="129" spans="1:16" x14ac:dyDescent="0.2">
      <c r="A129" s="8">
        <f t="shared" si="9"/>
        <v>123</v>
      </c>
      <c r="B129" s="1079">
        <f>'Membership Record'!B133</f>
        <v>0</v>
      </c>
      <c r="C129" s="1079"/>
      <c r="D129" s="191">
        <f>IF('Membership Record'!N133="",'Membership Record'!E133,'Membership Record'!N133)</f>
        <v>0</v>
      </c>
      <c r="E129" s="186" t="str">
        <f t="shared" si="5"/>
        <v/>
      </c>
      <c r="F129" s="39"/>
      <c r="G129" s="197"/>
      <c r="H129" s="193">
        <f t="shared" si="6"/>
        <v>1</v>
      </c>
      <c r="I129" s="193"/>
      <c r="K129" s="186" t="str">
        <f t="shared" si="7"/>
        <v/>
      </c>
      <c r="L129" s="39"/>
      <c r="M129" s="197"/>
      <c r="N129" s="193">
        <f t="shared" si="8"/>
        <v>1</v>
      </c>
      <c r="O129" s="44"/>
      <c r="P129" s="196"/>
    </row>
    <row r="130" spans="1:16" x14ac:dyDescent="0.2">
      <c r="A130" s="8">
        <f t="shared" si="9"/>
        <v>124</v>
      </c>
      <c r="B130" s="1079">
        <f>'Membership Record'!B134</f>
        <v>0</v>
      </c>
      <c r="C130" s="1079"/>
      <c r="D130" s="191">
        <f>IF('Membership Record'!N134="",'Membership Record'!E134,'Membership Record'!N134)</f>
        <v>0</v>
      </c>
      <c r="E130" s="186" t="str">
        <f t="shared" si="5"/>
        <v/>
      </c>
      <c r="F130" s="39"/>
      <c r="G130" s="197"/>
      <c r="H130" s="193">
        <f t="shared" si="6"/>
        <v>1</v>
      </c>
      <c r="I130" s="193"/>
      <c r="K130" s="186" t="str">
        <f t="shared" si="7"/>
        <v/>
      </c>
      <c r="L130" s="39"/>
      <c r="M130" s="197"/>
      <c r="N130" s="193">
        <f t="shared" si="8"/>
        <v>1</v>
      </c>
      <c r="O130" s="44"/>
      <c r="P130" s="196"/>
    </row>
    <row r="131" spans="1:16" x14ac:dyDescent="0.2">
      <c r="A131" s="8">
        <f t="shared" si="9"/>
        <v>125</v>
      </c>
      <c r="B131" s="1079">
        <f>'Membership Record'!B135</f>
        <v>0</v>
      </c>
      <c r="C131" s="1079"/>
      <c r="D131" s="191">
        <f>IF('Membership Record'!N135="",'Membership Record'!E135,'Membership Record'!N135)</f>
        <v>0</v>
      </c>
      <c r="E131" s="186" t="str">
        <f t="shared" si="5"/>
        <v/>
      </c>
      <c r="F131" s="39"/>
      <c r="G131" s="197"/>
      <c r="H131" s="193">
        <f t="shared" si="6"/>
        <v>1</v>
      </c>
      <c r="I131" s="193"/>
      <c r="K131" s="186" t="str">
        <f t="shared" si="7"/>
        <v/>
      </c>
      <c r="L131" s="39"/>
      <c r="M131" s="197"/>
      <c r="N131" s="193">
        <f t="shared" si="8"/>
        <v>1</v>
      </c>
      <c r="O131" s="44"/>
      <c r="P131" s="196"/>
    </row>
    <row r="132" spans="1:16" x14ac:dyDescent="0.2">
      <c r="A132" s="8">
        <f t="shared" si="9"/>
        <v>126</v>
      </c>
      <c r="B132" s="1079">
        <f>'Membership Record'!B136</f>
        <v>0</v>
      </c>
      <c r="C132" s="1079"/>
      <c r="D132" s="191">
        <f>IF('Membership Record'!N136="",'Membership Record'!E136,'Membership Record'!N136)</f>
        <v>0</v>
      </c>
      <c r="E132" s="186" t="str">
        <f t="shared" si="5"/>
        <v/>
      </c>
      <c r="F132" s="39"/>
      <c r="G132" s="197"/>
      <c r="H132" s="193">
        <f t="shared" si="6"/>
        <v>1</v>
      </c>
      <c r="I132" s="193"/>
      <c r="K132" s="186" t="str">
        <f t="shared" si="7"/>
        <v/>
      </c>
      <c r="L132" s="39"/>
      <c r="M132" s="197"/>
      <c r="N132" s="193">
        <f t="shared" si="8"/>
        <v>1</v>
      </c>
      <c r="O132" s="44"/>
      <c r="P132" s="196"/>
    </row>
    <row r="133" spans="1:16" x14ac:dyDescent="0.2">
      <c r="A133" s="8">
        <f t="shared" si="9"/>
        <v>127</v>
      </c>
      <c r="B133" s="1079">
        <f>'Membership Record'!B137</f>
        <v>0</v>
      </c>
      <c r="C133" s="1079"/>
      <c r="D133" s="191">
        <f>IF('Membership Record'!N137="",'Membership Record'!E137,'Membership Record'!N137)</f>
        <v>0</v>
      </c>
      <c r="E133" s="186" t="str">
        <f t="shared" si="5"/>
        <v/>
      </c>
      <c r="F133" s="39"/>
      <c r="G133" s="197"/>
      <c r="H133" s="193">
        <f t="shared" si="6"/>
        <v>1</v>
      </c>
      <c r="I133" s="193"/>
      <c r="K133" s="186" t="str">
        <f t="shared" si="7"/>
        <v/>
      </c>
      <c r="L133" s="39"/>
      <c r="M133" s="197"/>
      <c r="N133" s="193">
        <f t="shared" si="8"/>
        <v>1</v>
      </c>
      <c r="O133" s="44"/>
      <c r="P133" s="196"/>
    </row>
    <row r="134" spans="1:16" x14ac:dyDescent="0.2">
      <c r="A134" s="8">
        <f t="shared" si="9"/>
        <v>128</v>
      </c>
      <c r="B134" s="1079">
        <f>'Membership Record'!B138</f>
        <v>0</v>
      </c>
      <c r="C134" s="1079"/>
      <c r="D134" s="191">
        <f>IF('Membership Record'!N138="",'Membership Record'!E138,'Membership Record'!N138)</f>
        <v>0</v>
      </c>
      <c r="E134" s="186" t="str">
        <f t="shared" si="5"/>
        <v/>
      </c>
      <c r="F134" s="39"/>
      <c r="G134" s="197"/>
      <c r="H134" s="193">
        <f t="shared" si="6"/>
        <v>1</v>
      </c>
      <c r="I134" s="193"/>
      <c r="K134" s="186" t="str">
        <f t="shared" si="7"/>
        <v/>
      </c>
      <c r="L134" s="39"/>
      <c r="M134" s="197"/>
      <c r="N134" s="193">
        <f t="shared" si="8"/>
        <v>1</v>
      </c>
      <c r="O134" s="44"/>
      <c r="P134" s="196"/>
    </row>
    <row r="135" spans="1:16" x14ac:dyDescent="0.2">
      <c r="A135" s="8">
        <f t="shared" si="9"/>
        <v>129</v>
      </c>
      <c r="B135" s="1079">
        <f>'Membership Record'!B139</f>
        <v>0</v>
      </c>
      <c r="C135" s="1079"/>
      <c r="D135" s="191">
        <f>IF('Membership Record'!N139="",'Membership Record'!E139,'Membership Record'!N139)</f>
        <v>0</v>
      </c>
      <c r="E135" s="186" t="str">
        <f t="shared" si="5"/>
        <v/>
      </c>
      <c r="F135" s="39"/>
      <c r="G135" s="197"/>
      <c r="H135" s="193">
        <f t="shared" si="6"/>
        <v>1</v>
      </c>
      <c r="I135" s="193"/>
      <c r="K135" s="186" t="str">
        <f t="shared" si="7"/>
        <v/>
      </c>
      <c r="L135" s="39"/>
      <c r="M135" s="197"/>
      <c r="N135" s="193">
        <f t="shared" si="8"/>
        <v>1</v>
      </c>
      <c r="O135" s="44"/>
      <c r="P135" s="196"/>
    </row>
    <row r="136" spans="1:16" x14ac:dyDescent="0.2">
      <c r="A136" s="8">
        <f t="shared" si="9"/>
        <v>130</v>
      </c>
      <c r="B136" s="1079">
        <f>'Membership Record'!B140</f>
        <v>0</v>
      </c>
      <c r="C136" s="1079"/>
      <c r="D136" s="191">
        <f>IF('Membership Record'!N140="",'Membership Record'!E140,'Membership Record'!N140)</f>
        <v>0</v>
      </c>
      <c r="E136" s="186" t="str">
        <f t="shared" ref="E136:E199" si="10">IF(D136="Candidate",100,IF(F136="No",100,""))</f>
        <v/>
      </c>
      <c r="F136" s="39"/>
      <c r="G136" s="197"/>
      <c r="H136" s="193">
        <f t="shared" ref="H136:H199" si="11">MONTH(G136)</f>
        <v>1</v>
      </c>
      <c r="I136" s="193"/>
      <c r="K136" s="186" t="str">
        <f t="shared" ref="K136:K199" si="12">IF(D136="Candidate",230,IF(L136="No",230,""))</f>
        <v/>
      </c>
      <c r="L136" s="39"/>
      <c r="M136" s="197"/>
      <c r="N136" s="193">
        <f t="shared" ref="N136:N199" si="13">MONTH(M136)</f>
        <v>1</v>
      </c>
      <c r="O136" s="44"/>
      <c r="P136" s="196"/>
    </row>
    <row r="137" spans="1:16" x14ac:dyDescent="0.2">
      <c r="A137" s="8">
        <f t="shared" ref="A137:A200" si="14">A136+1</f>
        <v>131</v>
      </c>
      <c r="B137" s="1079">
        <f>'Membership Record'!B141</f>
        <v>0</v>
      </c>
      <c r="C137" s="1079"/>
      <c r="D137" s="191">
        <f>IF('Membership Record'!N141="",'Membership Record'!E141,'Membership Record'!N141)</f>
        <v>0</v>
      </c>
      <c r="E137" s="186" t="str">
        <f t="shared" si="10"/>
        <v/>
      </c>
      <c r="F137" s="39"/>
      <c r="G137" s="197"/>
      <c r="H137" s="193">
        <f t="shared" si="11"/>
        <v>1</v>
      </c>
      <c r="I137" s="193"/>
      <c r="K137" s="186" t="str">
        <f t="shared" si="12"/>
        <v/>
      </c>
      <c r="L137" s="39"/>
      <c r="M137" s="197"/>
      <c r="N137" s="193">
        <f t="shared" si="13"/>
        <v>1</v>
      </c>
      <c r="O137" s="44"/>
      <c r="P137" s="196"/>
    </row>
    <row r="138" spans="1:16" x14ac:dyDescent="0.2">
      <c r="A138" s="8">
        <f t="shared" si="14"/>
        <v>132</v>
      </c>
      <c r="B138" s="1079">
        <f>'Membership Record'!B142</f>
        <v>0</v>
      </c>
      <c r="C138" s="1079"/>
      <c r="D138" s="191">
        <f>IF('Membership Record'!N142="",'Membership Record'!E142,'Membership Record'!N142)</f>
        <v>0</v>
      </c>
      <c r="E138" s="186" t="str">
        <f t="shared" si="10"/>
        <v/>
      </c>
      <c r="F138" s="39"/>
      <c r="G138" s="197"/>
      <c r="H138" s="193">
        <f t="shared" si="11"/>
        <v>1</v>
      </c>
      <c r="I138" s="193"/>
      <c r="K138" s="186" t="str">
        <f t="shared" si="12"/>
        <v/>
      </c>
      <c r="L138" s="39"/>
      <c r="M138" s="197"/>
      <c r="N138" s="193">
        <f t="shared" si="13"/>
        <v>1</v>
      </c>
      <c r="O138" s="44"/>
      <c r="P138" s="196"/>
    </row>
    <row r="139" spans="1:16" x14ac:dyDescent="0.2">
      <c r="A139" s="8">
        <f t="shared" si="14"/>
        <v>133</v>
      </c>
      <c r="B139" s="1079">
        <f>'Membership Record'!B143</f>
        <v>0</v>
      </c>
      <c r="C139" s="1079"/>
      <c r="D139" s="191">
        <f>IF('Membership Record'!N143="",'Membership Record'!E143,'Membership Record'!N143)</f>
        <v>0</v>
      </c>
      <c r="E139" s="186" t="str">
        <f t="shared" si="10"/>
        <v/>
      </c>
      <c r="F139" s="39"/>
      <c r="G139" s="197"/>
      <c r="H139" s="193">
        <f t="shared" si="11"/>
        <v>1</v>
      </c>
      <c r="I139" s="193"/>
      <c r="K139" s="186" t="str">
        <f t="shared" si="12"/>
        <v/>
      </c>
      <c r="L139" s="39"/>
      <c r="M139" s="197"/>
      <c r="N139" s="193">
        <f t="shared" si="13"/>
        <v>1</v>
      </c>
      <c r="O139" s="44"/>
      <c r="P139" s="196"/>
    </row>
    <row r="140" spans="1:16" x14ac:dyDescent="0.2">
      <c r="A140" s="8">
        <f t="shared" si="14"/>
        <v>134</v>
      </c>
      <c r="B140" s="1079">
        <f>'Membership Record'!B144</f>
        <v>0</v>
      </c>
      <c r="C140" s="1079"/>
      <c r="D140" s="191">
        <f>IF('Membership Record'!N144="",'Membership Record'!E144,'Membership Record'!N144)</f>
        <v>0</v>
      </c>
      <c r="E140" s="186" t="str">
        <f t="shared" si="10"/>
        <v/>
      </c>
      <c r="F140" s="39"/>
      <c r="G140" s="197"/>
      <c r="H140" s="193">
        <f t="shared" si="11"/>
        <v>1</v>
      </c>
      <c r="I140" s="193"/>
      <c r="K140" s="186" t="str">
        <f t="shared" si="12"/>
        <v/>
      </c>
      <c r="L140" s="39"/>
      <c r="M140" s="197"/>
      <c r="N140" s="193">
        <f t="shared" si="13"/>
        <v>1</v>
      </c>
      <c r="O140" s="44"/>
      <c r="P140" s="196"/>
    </row>
    <row r="141" spans="1:16" x14ac:dyDescent="0.2">
      <c r="A141" s="8">
        <f t="shared" si="14"/>
        <v>135</v>
      </c>
      <c r="B141" s="1079">
        <f>'Membership Record'!B145</f>
        <v>0</v>
      </c>
      <c r="C141" s="1079"/>
      <c r="D141" s="191">
        <f>IF('Membership Record'!N145="",'Membership Record'!E145,'Membership Record'!N145)</f>
        <v>0</v>
      </c>
      <c r="E141" s="186" t="str">
        <f t="shared" si="10"/>
        <v/>
      </c>
      <c r="F141" s="39"/>
      <c r="G141" s="197"/>
      <c r="H141" s="193">
        <f t="shared" si="11"/>
        <v>1</v>
      </c>
      <c r="I141" s="193"/>
      <c r="K141" s="186" t="str">
        <f t="shared" si="12"/>
        <v/>
      </c>
      <c r="L141" s="39"/>
      <c r="M141" s="197"/>
      <c r="N141" s="193">
        <f t="shared" si="13"/>
        <v>1</v>
      </c>
      <c r="O141" s="44"/>
      <c r="P141" s="196"/>
    </row>
    <row r="142" spans="1:16" x14ac:dyDescent="0.2">
      <c r="A142" s="8">
        <f t="shared" si="14"/>
        <v>136</v>
      </c>
      <c r="B142" s="1079">
        <f>'Membership Record'!B146</f>
        <v>0</v>
      </c>
      <c r="C142" s="1079"/>
      <c r="D142" s="191">
        <f>IF('Membership Record'!N146="",'Membership Record'!E146,'Membership Record'!N146)</f>
        <v>0</v>
      </c>
      <c r="E142" s="186" t="str">
        <f t="shared" si="10"/>
        <v/>
      </c>
      <c r="F142" s="39"/>
      <c r="G142" s="197"/>
      <c r="H142" s="193">
        <f t="shared" si="11"/>
        <v>1</v>
      </c>
      <c r="I142" s="193"/>
      <c r="K142" s="186" t="str">
        <f t="shared" si="12"/>
        <v/>
      </c>
      <c r="L142" s="39"/>
      <c r="M142" s="197"/>
      <c r="N142" s="193">
        <f t="shared" si="13"/>
        <v>1</v>
      </c>
      <c r="O142" s="44"/>
      <c r="P142" s="196"/>
    </row>
    <row r="143" spans="1:16" x14ac:dyDescent="0.2">
      <c r="A143" s="8">
        <f t="shared" si="14"/>
        <v>137</v>
      </c>
      <c r="B143" s="1079">
        <f>'Membership Record'!B147</f>
        <v>0</v>
      </c>
      <c r="C143" s="1079"/>
      <c r="D143" s="191">
        <f>IF('Membership Record'!N147="",'Membership Record'!E147,'Membership Record'!N147)</f>
        <v>0</v>
      </c>
      <c r="E143" s="186" t="str">
        <f t="shared" si="10"/>
        <v/>
      </c>
      <c r="F143" s="39"/>
      <c r="G143" s="197"/>
      <c r="H143" s="193">
        <f t="shared" si="11"/>
        <v>1</v>
      </c>
      <c r="I143" s="193"/>
      <c r="K143" s="186" t="str">
        <f t="shared" si="12"/>
        <v/>
      </c>
      <c r="L143" s="39"/>
      <c r="M143" s="197"/>
      <c r="N143" s="193">
        <f t="shared" si="13"/>
        <v>1</v>
      </c>
      <c r="O143" s="44"/>
      <c r="P143" s="196"/>
    </row>
    <row r="144" spans="1:16" x14ac:dyDescent="0.2">
      <c r="A144" s="8">
        <f t="shared" si="14"/>
        <v>138</v>
      </c>
      <c r="B144" s="1079">
        <f>'Membership Record'!B148</f>
        <v>0</v>
      </c>
      <c r="C144" s="1079"/>
      <c r="D144" s="191">
        <f>IF('Membership Record'!N148="",'Membership Record'!E148,'Membership Record'!N148)</f>
        <v>0</v>
      </c>
      <c r="E144" s="186" t="str">
        <f t="shared" si="10"/>
        <v/>
      </c>
      <c r="F144" s="39"/>
      <c r="G144" s="197"/>
      <c r="H144" s="193">
        <f t="shared" si="11"/>
        <v>1</v>
      </c>
      <c r="I144" s="193"/>
      <c r="K144" s="186" t="str">
        <f t="shared" si="12"/>
        <v/>
      </c>
      <c r="L144" s="39"/>
      <c r="M144" s="197"/>
      <c r="N144" s="193">
        <f t="shared" si="13"/>
        <v>1</v>
      </c>
      <c r="O144" s="44"/>
      <c r="P144" s="196"/>
    </row>
    <row r="145" spans="1:16" x14ac:dyDescent="0.2">
      <c r="A145" s="8">
        <f t="shared" si="14"/>
        <v>139</v>
      </c>
      <c r="B145" s="1079">
        <f>'Membership Record'!B149</f>
        <v>0</v>
      </c>
      <c r="C145" s="1079"/>
      <c r="D145" s="191">
        <f>IF('Membership Record'!N149="",'Membership Record'!E149,'Membership Record'!N149)</f>
        <v>0</v>
      </c>
      <c r="E145" s="186" t="str">
        <f t="shared" si="10"/>
        <v/>
      </c>
      <c r="F145" s="39"/>
      <c r="G145" s="197"/>
      <c r="H145" s="193">
        <f t="shared" si="11"/>
        <v>1</v>
      </c>
      <c r="I145" s="193"/>
      <c r="K145" s="186" t="str">
        <f t="shared" si="12"/>
        <v/>
      </c>
      <c r="L145" s="39"/>
      <c r="M145" s="197"/>
      <c r="N145" s="193">
        <f t="shared" si="13"/>
        <v>1</v>
      </c>
      <c r="O145" s="44"/>
      <c r="P145" s="196"/>
    </row>
    <row r="146" spans="1:16" x14ac:dyDescent="0.2">
      <c r="A146" s="8">
        <f t="shared" si="14"/>
        <v>140</v>
      </c>
      <c r="B146" s="1079">
        <f>'Membership Record'!B150</f>
        <v>0</v>
      </c>
      <c r="C146" s="1079"/>
      <c r="D146" s="191">
        <f>IF('Membership Record'!N150="",'Membership Record'!E150,'Membership Record'!N150)</f>
        <v>0</v>
      </c>
      <c r="E146" s="186" t="str">
        <f t="shared" si="10"/>
        <v/>
      </c>
      <c r="F146" s="39"/>
      <c r="G146" s="197"/>
      <c r="H146" s="193">
        <f t="shared" si="11"/>
        <v>1</v>
      </c>
      <c r="I146" s="193"/>
      <c r="K146" s="186" t="str">
        <f t="shared" si="12"/>
        <v/>
      </c>
      <c r="L146" s="39"/>
      <c r="M146" s="197"/>
      <c r="N146" s="193">
        <f t="shared" si="13"/>
        <v>1</v>
      </c>
      <c r="O146" s="44"/>
      <c r="P146" s="196"/>
    </row>
    <row r="147" spans="1:16" x14ac:dyDescent="0.2">
      <c r="A147" s="8">
        <f t="shared" si="14"/>
        <v>141</v>
      </c>
      <c r="B147" s="1079">
        <f>'Membership Record'!B151</f>
        <v>0</v>
      </c>
      <c r="C147" s="1079"/>
      <c r="D147" s="191">
        <f>IF('Membership Record'!N151="",'Membership Record'!E151,'Membership Record'!N151)</f>
        <v>0</v>
      </c>
      <c r="E147" s="186" t="str">
        <f t="shared" si="10"/>
        <v/>
      </c>
      <c r="F147" s="39"/>
      <c r="G147" s="197"/>
      <c r="H147" s="193">
        <f t="shared" si="11"/>
        <v>1</v>
      </c>
      <c r="I147" s="193"/>
      <c r="K147" s="186" t="str">
        <f t="shared" si="12"/>
        <v/>
      </c>
      <c r="L147" s="39"/>
      <c r="M147" s="197"/>
      <c r="N147" s="193">
        <f t="shared" si="13"/>
        <v>1</v>
      </c>
      <c r="O147" s="44"/>
      <c r="P147" s="196"/>
    </row>
    <row r="148" spans="1:16" x14ac:dyDescent="0.2">
      <c r="A148" s="8">
        <f t="shared" si="14"/>
        <v>142</v>
      </c>
      <c r="B148" s="1079">
        <f>'Membership Record'!B152</f>
        <v>0</v>
      </c>
      <c r="C148" s="1079"/>
      <c r="D148" s="191">
        <f>IF('Membership Record'!N152="",'Membership Record'!E152,'Membership Record'!N152)</f>
        <v>0</v>
      </c>
      <c r="E148" s="186" t="str">
        <f t="shared" si="10"/>
        <v/>
      </c>
      <c r="F148" s="39"/>
      <c r="G148" s="197"/>
      <c r="H148" s="193">
        <f t="shared" si="11"/>
        <v>1</v>
      </c>
      <c r="I148" s="193"/>
      <c r="K148" s="186" t="str">
        <f t="shared" si="12"/>
        <v/>
      </c>
      <c r="L148" s="39"/>
      <c r="M148" s="197"/>
      <c r="N148" s="193">
        <f t="shared" si="13"/>
        <v>1</v>
      </c>
      <c r="O148" s="44"/>
      <c r="P148" s="196"/>
    </row>
    <row r="149" spans="1:16" x14ac:dyDescent="0.2">
      <c r="A149" s="8">
        <f t="shared" si="14"/>
        <v>143</v>
      </c>
      <c r="B149" s="1079">
        <f>'Membership Record'!B153</f>
        <v>0</v>
      </c>
      <c r="C149" s="1079"/>
      <c r="D149" s="191">
        <f>IF('Membership Record'!N153="",'Membership Record'!E153,'Membership Record'!N153)</f>
        <v>0</v>
      </c>
      <c r="E149" s="186" t="str">
        <f t="shared" si="10"/>
        <v/>
      </c>
      <c r="F149" s="39"/>
      <c r="G149" s="197"/>
      <c r="H149" s="193">
        <f t="shared" si="11"/>
        <v>1</v>
      </c>
      <c r="I149" s="193"/>
      <c r="K149" s="186" t="str">
        <f t="shared" si="12"/>
        <v/>
      </c>
      <c r="L149" s="39"/>
      <c r="M149" s="197"/>
      <c r="N149" s="193">
        <f t="shared" si="13"/>
        <v>1</v>
      </c>
      <c r="O149" s="44"/>
      <c r="P149" s="196"/>
    </row>
    <row r="150" spans="1:16" x14ac:dyDescent="0.2">
      <c r="A150" s="8">
        <f t="shared" si="14"/>
        <v>144</v>
      </c>
      <c r="B150" s="1079">
        <f>'Membership Record'!B154</f>
        <v>0</v>
      </c>
      <c r="C150" s="1079"/>
      <c r="D150" s="191">
        <f>IF('Membership Record'!N154="",'Membership Record'!E154,'Membership Record'!N154)</f>
        <v>0</v>
      </c>
      <c r="E150" s="186" t="str">
        <f t="shared" si="10"/>
        <v/>
      </c>
      <c r="F150" s="39"/>
      <c r="G150" s="197"/>
      <c r="H150" s="193">
        <f t="shared" si="11"/>
        <v>1</v>
      </c>
      <c r="I150" s="193"/>
      <c r="K150" s="186" t="str">
        <f t="shared" si="12"/>
        <v/>
      </c>
      <c r="L150" s="39"/>
      <c r="M150" s="197"/>
      <c r="N150" s="193">
        <f t="shared" si="13"/>
        <v>1</v>
      </c>
      <c r="O150" s="44"/>
      <c r="P150" s="196"/>
    </row>
    <row r="151" spans="1:16" x14ac:dyDescent="0.2">
      <c r="A151" s="8">
        <f t="shared" si="14"/>
        <v>145</v>
      </c>
      <c r="B151" s="1079">
        <f>'Membership Record'!B155</f>
        <v>0</v>
      </c>
      <c r="C151" s="1079"/>
      <c r="D151" s="191">
        <f>IF('Membership Record'!N155="",'Membership Record'!E155,'Membership Record'!N155)</f>
        <v>0</v>
      </c>
      <c r="E151" s="186" t="str">
        <f t="shared" si="10"/>
        <v/>
      </c>
      <c r="F151" s="39"/>
      <c r="G151" s="197"/>
      <c r="H151" s="193">
        <f t="shared" si="11"/>
        <v>1</v>
      </c>
      <c r="I151" s="193"/>
      <c r="K151" s="186" t="str">
        <f t="shared" si="12"/>
        <v/>
      </c>
      <c r="L151" s="39"/>
      <c r="M151" s="197"/>
      <c r="N151" s="193">
        <f t="shared" si="13"/>
        <v>1</v>
      </c>
      <c r="O151" s="44"/>
      <c r="P151" s="196"/>
    </row>
    <row r="152" spans="1:16" x14ac:dyDescent="0.2">
      <c r="A152" s="8">
        <f t="shared" si="14"/>
        <v>146</v>
      </c>
      <c r="B152" s="1079">
        <f>'Membership Record'!B156</f>
        <v>0</v>
      </c>
      <c r="C152" s="1079"/>
      <c r="D152" s="191">
        <f>IF('Membership Record'!N156="",'Membership Record'!E156,'Membership Record'!N156)</f>
        <v>0</v>
      </c>
      <c r="E152" s="186" t="str">
        <f t="shared" si="10"/>
        <v/>
      </c>
      <c r="F152" s="39"/>
      <c r="G152" s="197"/>
      <c r="H152" s="193">
        <f t="shared" si="11"/>
        <v>1</v>
      </c>
      <c r="I152" s="193"/>
      <c r="K152" s="186" t="str">
        <f t="shared" si="12"/>
        <v/>
      </c>
      <c r="L152" s="39"/>
      <c r="M152" s="197"/>
      <c r="N152" s="193">
        <f t="shared" si="13"/>
        <v>1</v>
      </c>
      <c r="O152" s="44"/>
      <c r="P152" s="196"/>
    </row>
    <row r="153" spans="1:16" x14ac:dyDescent="0.2">
      <c r="A153" s="8">
        <f t="shared" si="14"/>
        <v>147</v>
      </c>
      <c r="B153" s="1079">
        <f>'Membership Record'!B157</f>
        <v>0</v>
      </c>
      <c r="C153" s="1079"/>
      <c r="D153" s="191">
        <f>IF('Membership Record'!N157="",'Membership Record'!E157,'Membership Record'!N157)</f>
        <v>0</v>
      </c>
      <c r="E153" s="186" t="str">
        <f t="shared" si="10"/>
        <v/>
      </c>
      <c r="F153" s="39"/>
      <c r="G153" s="197"/>
      <c r="H153" s="193">
        <f t="shared" si="11"/>
        <v>1</v>
      </c>
      <c r="I153" s="193"/>
      <c r="K153" s="186" t="str">
        <f t="shared" si="12"/>
        <v/>
      </c>
      <c r="L153" s="39"/>
      <c r="M153" s="197"/>
      <c r="N153" s="193">
        <f t="shared" si="13"/>
        <v>1</v>
      </c>
      <c r="O153" s="44"/>
      <c r="P153" s="196"/>
    </row>
    <row r="154" spans="1:16" x14ac:dyDescent="0.2">
      <c r="A154" s="8">
        <f t="shared" si="14"/>
        <v>148</v>
      </c>
      <c r="B154" s="1079">
        <f>'Membership Record'!B158</f>
        <v>0</v>
      </c>
      <c r="C154" s="1079"/>
      <c r="D154" s="191">
        <f>IF('Membership Record'!N158="",'Membership Record'!E158,'Membership Record'!N158)</f>
        <v>0</v>
      </c>
      <c r="E154" s="186" t="str">
        <f t="shared" si="10"/>
        <v/>
      </c>
      <c r="F154" s="39"/>
      <c r="G154" s="197"/>
      <c r="H154" s="193">
        <f t="shared" si="11"/>
        <v>1</v>
      </c>
      <c r="I154" s="193"/>
      <c r="K154" s="186" t="str">
        <f t="shared" si="12"/>
        <v/>
      </c>
      <c r="L154" s="39"/>
      <c r="M154" s="197"/>
      <c r="N154" s="193">
        <f t="shared" si="13"/>
        <v>1</v>
      </c>
      <c r="O154" s="44"/>
      <c r="P154" s="196"/>
    </row>
    <row r="155" spans="1:16" x14ac:dyDescent="0.2">
      <c r="A155" s="8">
        <f t="shared" si="14"/>
        <v>149</v>
      </c>
      <c r="B155" s="1079">
        <f>'Membership Record'!B159</f>
        <v>0</v>
      </c>
      <c r="C155" s="1079"/>
      <c r="D155" s="191">
        <f>IF('Membership Record'!N159="",'Membership Record'!E159,'Membership Record'!N159)</f>
        <v>0</v>
      </c>
      <c r="E155" s="186" t="str">
        <f t="shared" si="10"/>
        <v/>
      </c>
      <c r="F155" s="39"/>
      <c r="G155" s="197"/>
      <c r="H155" s="193">
        <f t="shared" si="11"/>
        <v>1</v>
      </c>
      <c r="I155" s="193"/>
      <c r="K155" s="186" t="str">
        <f t="shared" si="12"/>
        <v/>
      </c>
      <c r="L155" s="39"/>
      <c r="M155" s="197"/>
      <c r="N155" s="193">
        <f t="shared" si="13"/>
        <v>1</v>
      </c>
      <c r="O155" s="44"/>
      <c r="P155" s="196"/>
    </row>
    <row r="156" spans="1:16" x14ac:dyDescent="0.2">
      <c r="A156" s="8">
        <f t="shared" si="14"/>
        <v>150</v>
      </c>
      <c r="B156" s="1079">
        <f>'Membership Record'!B160</f>
        <v>0</v>
      </c>
      <c r="C156" s="1079"/>
      <c r="D156" s="191">
        <f>IF('Membership Record'!N160="",'Membership Record'!E160,'Membership Record'!N160)</f>
        <v>0</v>
      </c>
      <c r="E156" s="186" t="str">
        <f t="shared" si="10"/>
        <v/>
      </c>
      <c r="F156" s="39"/>
      <c r="G156" s="197"/>
      <c r="H156" s="193">
        <f t="shared" si="11"/>
        <v>1</v>
      </c>
      <c r="I156" s="193"/>
      <c r="K156" s="186" t="str">
        <f t="shared" si="12"/>
        <v/>
      </c>
      <c r="L156" s="39"/>
      <c r="M156" s="197"/>
      <c r="N156" s="193">
        <f t="shared" si="13"/>
        <v>1</v>
      </c>
      <c r="O156" s="44"/>
      <c r="P156" s="196"/>
    </row>
    <row r="157" spans="1:16" x14ac:dyDescent="0.2">
      <c r="A157" s="8">
        <f t="shared" si="14"/>
        <v>151</v>
      </c>
      <c r="B157" s="1079">
        <f>'Membership Record'!B161</f>
        <v>0</v>
      </c>
      <c r="C157" s="1079"/>
      <c r="D157" s="191">
        <f>IF('Membership Record'!N161="",'Membership Record'!E161,'Membership Record'!N161)</f>
        <v>0</v>
      </c>
      <c r="E157" s="186" t="str">
        <f t="shared" si="10"/>
        <v/>
      </c>
      <c r="F157" s="39"/>
      <c r="G157" s="197"/>
      <c r="H157" s="193">
        <f t="shared" si="11"/>
        <v>1</v>
      </c>
      <c r="I157" s="193"/>
      <c r="K157" s="186" t="str">
        <f t="shared" si="12"/>
        <v/>
      </c>
      <c r="L157" s="39"/>
      <c r="M157" s="197"/>
      <c r="N157" s="193">
        <f t="shared" si="13"/>
        <v>1</v>
      </c>
      <c r="O157" s="44"/>
      <c r="P157" s="196"/>
    </row>
    <row r="158" spans="1:16" x14ac:dyDescent="0.2">
      <c r="A158" s="8">
        <f t="shared" si="14"/>
        <v>152</v>
      </c>
      <c r="B158" s="1079">
        <f>'Membership Record'!B162</f>
        <v>0</v>
      </c>
      <c r="C158" s="1079"/>
      <c r="D158" s="191">
        <f>IF('Membership Record'!N162="",'Membership Record'!E162,'Membership Record'!N162)</f>
        <v>0</v>
      </c>
      <c r="E158" s="186" t="str">
        <f t="shared" si="10"/>
        <v/>
      </c>
      <c r="F158" s="39"/>
      <c r="G158" s="197"/>
      <c r="H158" s="193">
        <f t="shared" si="11"/>
        <v>1</v>
      </c>
      <c r="I158" s="193"/>
      <c r="K158" s="186" t="str">
        <f t="shared" si="12"/>
        <v/>
      </c>
      <c r="L158" s="39"/>
      <c r="M158" s="197"/>
      <c r="N158" s="193">
        <f t="shared" si="13"/>
        <v>1</v>
      </c>
      <c r="O158" s="44"/>
      <c r="P158" s="196"/>
    </row>
    <row r="159" spans="1:16" x14ac:dyDescent="0.2">
      <c r="A159" s="8">
        <f t="shared" si="14"/>
        <v>153</v>
      </c>
      <c r="B159" s="1079">
        <f>'Membership Record'!B163</f>
        <v>0</v>
      </c>
      <c r="C159" s="1079"/>
      <c r="D159" s="191">
        <f>IF('Membership Record'!N163="",'Membership Record'!E163,'Membership Record'!N163)</f>
        <v>0</v>
      </c>
      <c r="E159" s="186" t="str">
        <f t="shared" si="10"/>
        <v/>
      </c>
      <c r="F159" s="39"/>
      <c r="G159" s="197"/>
      <c r="H159" s="193">
        <f t="shared" si="11"/>
        <v>1</v>
      </c>
      <c r="I159" s="193"/>
      <c r="K159" s="186" t="str">
        <f t="shared" si="12"/>
        <v/>
      </c>
      <c r="L159" s="39"/>
      <c r="M159" s="197"/>
      <c r="N159" s="193">
        <f t="shared" si="13"/>
        <v>1</v>
      </c>
      <c r="O159" s="44"/>
      <c r="P159" s="196"/>
    </row>
    <row r="160" spans="1:16" x14ac:dyDescent="0.2">
      <c r="A160" s="8">
        <f t="shared" si="14"/>
        <v>154</v>
      </c>
      <c r="B160" s="1079">
        <f>'Membership Record'!B164</f>
        <v>0</v>
      </c>
      <c r="C160" s="1079"/>
      <c r="D160" s="191">
        <f>IF('Membership Record'!N164="",'Membership Record'!E164,'Membership Record'!N164)</f>
        <v>0</v>
      </c>
      <c r="E160" s="186" t="str">
        <f t="shared" si="10"/>
        <v/>
      </c>
      <c r="F160" s="39"/>
      <c r="G160" s="197"/>
      <c r="H160" s="193">
        <f t="shared" si="11"/>
        <v>1</v>
      </c>
      <c r="I160" s="193"/>
      <c r="K160" s="186" t="str">
        <f t="shared" si="12"/>
        <v/>
      </c>
      <c r="L160" s="39"/>
      <c r="M160" s="197"/>
      <c r="N160" s="193">
        <f t="shared" si="13"/>
        <v>1</v>
      </c>
      <c r="O160" s="44"/>
      <c r="P160" s="196"/>
    </row>
    <row r="161" spans="1:16" x14ac:dyDescent="0.2">
      <c r="A161" s="8">
        <f t="shared" si="14"/>
        <v>155</v>
      </c>
      <c r="B161" s="1079">
        <f>'Membership Record'!B165</f>
        <v>0</v>
      </c>
      <c r="C161" s="1079"/>
      <c r="D161" s="191">
        <f>IF('Membership Record'!N165="",'Membership Record'!E165,'Membership Record'!N165)</f>
        <v>0</v>
      </c>
      <c r="E161" s="186" t="str">
        <f t="shared" si="10"/>
        <v/>
      </c>
      <c r="F161" s="39"/>
      <c r="G161" s="197"/>
      <c r="H161" s="193">
        <f t="shared" si="11"/>
        <v>1</v>
      </c>
      <c r="I161" s="193"/>
      <c r="K161" s="186" t="str">
        <f t="shared" si="12"/>
        <v/>
      </c>
      <c r="L161" s="39"/>
      <c r="M161" s="197"/>
      <c r="N161" s="193">
        <f t="shared" si="13"/>
        <v>1</v>
      </c>
      <c r="O161" s="44"/>
      <c r="P161" s="196"/>
    </row>
    <row r="162" spans="1:16" x14ac:dyDescent="0.2">
      <c r="A162" s="8">
        <f t="shared" si="14"/>
        <v>156</v>
      </c>
      <c r="B162" s="1079">
        <f>'Membership Record'!B166</f>
        <v>0</v>
      </c>
      <c r="C162" s="1079"/>
      <c r="D162" s="191">
        <f>IF('Membership Record'!N166="",'Membership Record'!E166,'Membership Record'!N166)</f>
        <v>0</v>
      </c>
      <c r="E162" s="186" t="str">
        <f t="shared" si="10"/>
        <v/>
      </c>
      <c r="F162" s="39"/>
      <c r="G162" s="197"/>
      <c r="H162" s="193">
        <f t="shared" si="11"/>
        <v>1</v>
      </c>
      <c r="I162" s="193"/>
      <c r="K162" s="186" t="str">
        <f t="shared" si="12"/>
        <v/>
      </c>
      <c r="L162" s="39"/>
      <c r="M162" s="197"/>
      <c r="N162" s="193">
        <f t="shared" si="13"/>
        <v>1</v>
      </c>
      <c r="O162" s="44"/>
      <c r="P162" s="196"/>
    </row>
    <row r="163" spans="1:16" x14ac:dyDescent="0.2">
      <c r="A163" s="8">
        <f t="shared" si="14"/>
        <v>157</v>
      </c>
      <c r="B163" s="1079">
        <f>'Membership Record'!B167</f>
        <v>0</v>
      </c>
      <c r="C163" s="1079"/>
      <c r="D163" s="191">
        <f>IF('Membership Record'!N167="",'Membership Record'!E167,'Membership Record'!N167)</f>
        <v>0</v>
      </c>
      <c r="E163" s="186" t="str">
        <f t="shared" si="10"/>
        <v/>
      </c>
      <c r="F163" s="39"/>
      <c r="G163" s="197"/>
      <c r="H163" s="193">
        <f t="shared" si="11"/>
        <v>1</v>
      </c>
      <c r="I163" s="193"/>
      <c r="K163" s="186" t="str">
        <f t="shared" si="12"/>
        <v/>
      </c>
      <c r="L163" s="39"/>
      <c r="M163" s="197"/>
      <c r="N163" s="193">
        <f t="shared" si="13"/>
        <v>1</v>
      </c>
      <c r="O163" s="44"/>
      <c r="P163" s="196"/>
    </row>
    <row r="164" spans="1:16" x14ac:dyDescent="0.2">
      <c r="A164" s="8">
        <f t="shared" si="14"/>
        <v>158</v>
      </c>
      <c r="B164" s="1079">
        <f>'Membership Record'!B168</f>
        <v>0</v>
      </c>
      <c r="C164" s="1079"/>
      <c r="D164" s="191">
        <f>IF('Membership Record'!N168="",'Membership Record'!E168,'Membership Record'!N168)</f>
        <v>0</v>
      </c>
      <c r="E164" s="186" t="str">
        <f t="shared" si="10"/>
        <v/>
      </c>
      <c r="F164" s="39"/>
      <c r="G164" s="197"/>
      <c r="H164" s="193">
        <f t="shared" si="11"/>
        <v>1</v>
      </c>
      <c r="I164" s="193"/>
      <c r="K164" s="186" t="str">
        <f t="shared" si="12"/>
        <v/>
      </c>
      <c r="L164" s="39"/>
      <c r="M164" s="197"/>
      <c r="N164" s="193">
        <f t="shared" si="13"/>
        <v>1</v>
      </c>
      <c r="O164" s="44"/>
      <c r="P164" s="196"/>
    </row>
    <row r="165" spans="1:16" x14ac:dyDescent="0.2">
      <c r="A165" s="8">
        <f t="shared" si="14"/>
        <v>159</v>
      </c>
      <c r="B165" s="1079">
        <f>'Membership Record'!B169</f>
        <v>0</v>
      </c>
      <c r="C165" s="1079"/>
      <c r="D165" s="191">
        <f>IF('Membership Record'!N169="",'Membership Record'!E169,'Membership Record'!N169)</f>
        <v>0</v>
      </c>
      <c r="E165" s="186" t="str">
        <f t="shared" si="10"/>
        <v/>
      </c>
      <c r="F165" s="39"/>
      <c r="G165" s="197"/>
      <c r="H165" s="193">
        <f t="shared" si="11"/>
        <v>1</v>
      </c>
      <c r="I165" s="193"/>
      <c r="K165" s="186" t="str">
        <f t="shared" si="12"/>
        <v/>
      </c>
      <c r="L165" s="39"/>
      <c r="M165" s="197"/>
      <c r="N165" s="193">
        <f t="shared" si="13"/>
        <v>1</v>
      </c>
      <c r="O165" s="44"/>
      <c r="P165" s="196"/>
    </row>
    <row r="166" spans="1:16" x14ac:dyDescent="0.2">
      <c r="A166" s="8">
        <f t="shared" si="14"/>
        <v>160</v>
      </c>
      <c r="B166" s="1079">
        <f>'Membership Record'!B170</f>
        <v>0</v>
      </c>
      <c r="C166" s="1079"/>
      <c r="D166" s="191">
        <f>IF('Membership Record'!N170="",'Membership Record'!E170,'Membership Record'!N170)</f>
        <v>0</v>
      </c>
      <c r="E166" s="186" t="str">
        <f t="shared" si="10"/>
        <v/>
      </c>
      <c r="F166" s="39"/>
      <c r="G166" s="197"/>
      <c r="H166" s="193">
        <f t="shared" si="11"/>
        <v>1</v>
      </c>
      <c r="I166" s="193"/>
      <c r="K166" s="186" t="str">
        <f t="shared" si="12"/>
        <v/>
      </c>
      <c r="L166" s="39"/>
      <c r="M166" s="197"/>
      <c r="N166" s="193">
        <f t="shared" si="13"/>
        <v>1</v>
      </c>
      <c r="O166" s="44"/>
      <c r="P166" s="196"/>
    </row>
    <row r="167" spans="1:16" x14ac:dyDescent="0.2">
      <c r="A167" s="8">
        <f t="shared" si="14"/>
        <v>161</v>
      </c>
      <c r="B167" s="1079">
        <f>'Membership Record'!B171</f>
        <v>0</v>
      </c>
      <c r="C167" s="1079"/>
      <c r="D167" s="191">
        <f>IF('Membership Record'!N171="",'Membership Record'!E171,'Membership Record'!N171)</f>
        <v>0</v>
      </c>
      <c r="E167" s="186" t="str">
        <f t="shared" si="10"/>
        <v/>
      </c>
      <c r="F167" s="39"/>
      <c r="G167" s="197"/>
      <c r="H167" s="193">
        <f t="shared" si="11"/>
        <v>1</v>
      </c>
      <c r="I167" s="193"/>
      <c r="K167" s="186" t="str">
        <f t="shared" si="12"/>
        <v/>
      </c>
      <c r="L167" s="39"/>
      <c r="M167" s="197"/>
      <c r="N167" s="193">
        <f t="shared" si="13"/>
        <v>1</v>
      </c>
      <c r="O167" s="44"/>
      <c r="P167" s="196"/>
    </row>
    <row r="168" spans="1:16" x14ac:dyDescent="0.2">
      <c r="A168" s="8">
        <f t="shared" si="14"/>
        <v>162</v>
      </c>
      <c r="B168" s="1079">
        <f>'Membership Record'!B172</f>
        <v>0</v>
      </c>
      <c r="C168" s="1079"/>
      <c r="D168" s="191">
        <f>IF('Membership Record'!N172="",'Membership Record'!E172,'Membership Record'!N172)</f>
        <v>0</v>
      </c>
      <c r="E168" s="186" t="str">
        <f t="shared" si="10"/>
        <v/>
      </c>
      <c r="F168" s="39"/>
      <c r="G168" s="197"/>
      <c r="H168" s="193">
        <f t="shared" si="11"/>
        <v>1</v>
      </c>
      <c r="I168" s="193"/>
      <c r="K168" s="186" t="str">
        <f t="shared" si="12"/>
        <v/>
      </c>
      <c r="L168" s="39"/>
      <c r="M168" s="197"/>
      <c r="N168" s="193">
        <f t="shared" si="13"/>
        <v>1</v>
      </c>
      <c r="O168" s="44"/>
      <c r="P168" s="196"/>
    </row>
    <row r="169" spans="1:16" x14ac:dyDescent="0.2">
      <c r="A169" s="8">
        <f t="shared" si="14"/>
        <v>163</v>
      </c>
      <c r="B169" s="1079">
        <f>'Membership Record'!B173</f>
        <v>0</v>
      </c>
      <c r="C169" s="1079"/>
      <c r="D169" s="191">
        <f>IF('Membership Record'!N173="",'Membership Record'!E173,'Membership Record'!N173)</f>
        <v>0</v>
      </c>
      <c r="E169" s="186" t="str">
        <f t="shared" si="10"/>
        <v/>
      </c>
      <c r="F169" s="39"/>
      <c r="G169" s="197"/>
      <c r="H169" s="193">
        <f t="shared" si="11"/>
        <v>1</v>
      </c>
      <c r="I169" s="193"/>
      <c r="K169" s="186" t="str">
        <f t="shared" si="12"/>
        <v/>
      </c>
      <c r="L169" s="39"/>
      <c r="M169" s="197"/>
      <c r="N169" s="193">
        <f t="shared" si="13"/>
        <v>1</v>
      </c>
      <c r="O169" s="44"/>
      <c r="P169" s="196"/>
    </row>
    <row r="170" spans="1:16" x14ac:dyDescent="0.2">
      <c r="A170" s="8">
        <f t="shared" si="14"/>
        <v>164</v>
      </c>
      <c r="B170" s="1079">
        <f>'Membership Record'!B174</f>
        <v>0</v>
      </c>
      <c r="C170" s="1079"/>
      <c r="D170" s="191">
        <f>IF('Membership Record'!N174="",'Membership Record'!E174,'Membership Record'!N174)</f>
        <v>0</v>
      </c>
      <c r="E170" s="186" t="str">
        <f t="shared" si="10"/>
        <v/>
      </c>
      <c r="F170" s="39"/>
      <c r="G170" s="197"/>
      <c r="H170" s="193">
        <f t="shared" si="11"/>
        <v>1</v>
      </c>
      <c r="I170" s="193"/>
      <c r="K170" s="186" t="str">
        <f t="shared" si="12"/>
        <v/>
      </c>
      <c r="L170" s="39"/>
      <c r="M170" s="197"/>
      <c r="N170" s="193">
        <f t="shared" si="13"/>
        <v>1</v>
      </c>
      <c r="O170" s="44"/>
      <c r="P170" s="196"/>
    </row>
    <row r="171" spans="1:16" x14ac:dyDescent="0.2">
      <c r="A171" s="8">
        <f t="shared" si="14"/>
        <v>165</v>
      </c>
      <c r="B171" s="1079">
        <f>'Membership Record'!B175</f>
        <v>0</v>
      </c>
      <c r="C171" s="1079"/>
      <c r="D171" s="191">
        <f>IF('Membership Record'!N175="",'Membership Record'!E175,'Membership Record'!N175)</f>
        <v>0</v>
      </c>
      <c r="E171" s="186" t="str">
        <f t="shared" si="10"/>
        <v/>
      </c>
      <c r="F171" s="39"/>
      <c r="G171" s="197"/>
      <c r="H171" s="193">
        <f t="shared" si="11"/>
        <v>1</v>
      </c>
      <c r="I171" s="193"/>
      <c r="K171" s="186" t="str">
        <f t="shared" si="12"/>
        <v/>
      </c>
      <c r="L171" s="39"/>
      <c r="M171" s="197"/>
      <c r="N171" s="193">
        <f t="shared" si="13"/>
        <v>1</v>
      </c>
      <c r="O171" s="44"/>
      <c r="P171" s="196"/>
    </row>
    <row r="172" spans="1:16" x14ac:dyDescent="0.2">
      <c r="A172" s="8">
        <f t="shared" si="14"/>
        <v>166</v>
      </c>
      <c r="B172" s="1079">
        <f>'Membership Record'!B176</f>
        <v>0</v>
      </c>
      <c r="C172" s="1079"/>
      <c r="D172" s="191">
        <f>IF('Membership Record'!N176="",'Membership Record'!E176,'Membership Record'!N176)</f>
        <v>0</v>
      </c>
      <c r="E172" s="186" t="str">
        <f t="shared" si="10"/>
        <v/>
      </c>
      <c r="F172" s="39"/>
      <c r="G172" s="197"/>
      <c r="H172" s="193">
        <f t="shared" si="11"/>
        <v>1</v>
      </c>
      <c r="I172" s="193"/>
      <c r="K172" s="186" t="str">
        <f t="shared" si="12"/>
        <v/>
      </c>
      <c r="L172" s="39"/>
      <c r="M172" s="197"/>
      <c r="N172" s="193">
        <f t="shared" si="13"/>
        <v>1</v>
      </c>
      <c r="O172" s="44"/>
      <c r="P172" s="196"/>
    </row>
    <row r="173" spans="1:16" x14ac:dyDescent="0.2">
      <c r="A173" s="8">
        <f t="shared" si="14"/>
        <v>167</v>
      </c>
      <c r="B173" s="1079">
        <f>'Membership Record'!B177</f>
        <v>0</v>
      </c>
      <c r="C173" s="1079"/>
      <c r="D173" s="191">
        <f>IF('Membership Record'!N177="",'Membership Record'!E177,'Membership Record'!N177)</f>
        <v>0</v>
      </c>
      <c r="E173" s="186" t="str">
        <f t="shared" si="10"/>
        <v/>
      </c>
      <c r="F173" s="39"/>
      <c r="G173" s="197"/>
      <c r="H173" s="193">
        <f t="shared" si="11"/>
        <v>1</v>
      </c>
      <c r="I173" s="193"/>
      <c r="K173" s="186" t="str">
        <f t="shared" si="12"/>
        <v/>
      </c>
      <c r="L173" s="39"/>
      <c r="M173" s="197"/>
      <c r="N173" s="193">
        <f t="shared" si="13"/>
        <v>1</v>
      </c>
      <c r="O173" s="44"/>
      <c r="P173" s="196"/>
    </row>
    <row r="174" spans="1:16" x14ac:dyDescent="0.2">
      <c r="A174" s="8">
        <f t="shared" si="14"/>
        <v>168</v>
      </c>
      <c r="B174" s="1079">
        <f>'Membership Record'!B178</f>
        <v>0</v>
      </c>
      <c r="C174" s="1079"/>
      <c r="D174" s="191">
        <f>IF('Membership Record'!N178="",'Membership Record'!E178,'Membership Record'!N178)</f>
        <v>0</v>
      </c>
      <c r="E174" s="186" t="str">
        <f t="shared" si="10"/>
        <v/>
      </c>
      <c r="F174" s="39"/>
      <c r="G174" s="197"/>
      <c r="H174" s="193">
        <f t="shared" si="11"/>
        <v>1</v>
      </c>
      <c r="I174" s="193"/>
      <c r="K174" s="186" t="str">
        <f t="shared" si="12"/>
        <v/>
      </c>
      <c r="L174" s="39"/>
      <c r="M174" s="197"/>
      <c r="N174" s="193">
        <f t="shared" si="13"/>
        <v>1</v>
      </c>
      <c r="O174" s="44"/>
      <c r="P174" s="196"/>
    </row>
    <row r="175" spans="1:16" x14ac:dyDescent="0.2">
      <c r="A175" s="8">
        <f t="shared" si="14"/>
        <v>169</v>
      </c>
      <c r="B175" s="1079">
        <f>'Membership Record'!B179</f>
        <v>0</v>
      </c>
      <c r="C175" s="1079"/>
      <c r="D175" s="191">
        <f>IF('Membership Record'!N179="",'Membership Record'!E179,'Membership Record'!N179)</f>
        <v>0</v>
      </c>
      <c r="E175" s="186" t="str">
        <f t="shared" si="10"/>
        <v/>
      </c>
      <c r="F175" s="39"/>
      <c r="G175" s="197"/>
      <c r="H175" s="193">
        <f t="shared" si="11"/>
        <v>1</v>
      </c>
      <c r="I175" s="193"/>
      <c r="K175" s="186" t="str">
        <f t="shared" si="12"/>
        <v/>
      </c>
      <c r="L175" s="39"/>
      <c r="M175" s="197"/>
      <c r="N175" s="193">
        <f t="shared" si="13"/>
        <v>1</v>
      </c>
      <c r="O175" s="44"/>
      <c r="P175" s="196"/>
    </row>
    <row r="176" spans="1:16" x14ac:dyDescent="0.2">
      <c r="A176" s="8">
        <f t="shared" si="14"/>
        <v>170</v>
      </c>
      <c r="B176" s="1079">
        <f>'Membership Record'!B180</f>
        <v>0</v>
      </c>
      <c r="C176" s="1079"/>
      <c r="D176" s="191">
        <f>IF('Membership Record'!N180="",'Membership Record'!E180,'Membership Record'!N180)</f>
        <v>0</v>
      </c>
      <c r="E176" s="186" t="str">
        <f t="shared" si="10"/>
        <v/>
      </c>
      <c r="F176" s="39"/>
      <c r="G176" s="197"/>
      <c r="H176" s="193">
        <f t="shared" si="11"/>
        <v>1</v>
      </c>
      <c r="I176" s="193"/>
      <c r="K176" s="186" t="str">
        <f t="shared" si="12"/>
        <v/>
      </c>
      <c r="L176" s="39"/>
      <c r="M176" s="197"/>
      <c r="N176" s="193">
        <f t="shared" si="13"/>
        <v>1</v>
      </c>
      <c r="O176" s="44"/>
      <c r="P176" s="196"/>
    </row>
    <row r="177" spans="1:16" x14ac:dyDescent="0.2">
      <c r="A177" s="8">
        <f t="shared" si="14"/>
        <v>171</v>
      </c>
      <c r="B177" s="1079">
        <f>'Membership Record'!B181</f>
        <v>0</v>
      </c>
      <c r="C177" s="1079"/>
      <c r="D177" s="191">
        <f>IF('Membership Record'!N181="",'Membership Record'!E181,'Membership Record'!N181)</f>
        <v>0</v>
      </c>
      <c r="E177" s="186" t="str">
        <f t="shared" si="10"/>
        <v/>
      </c>
      <c r="F177" s="39"/>
      <c r="G177" s="197"/>
      <c r="H177" s="193">
        <f t="shared" si="11"/>
        <v>1</v>
      </c>
      <c r="I177" s="193"/>
      <c r="K177" s="186" t="str">
        <f t="shared" si="12"/>
        <v/>
      </c>
      <c r="L177" s="39"/>
      <c r="M177" s="197"/>
      <c r="N177" s="193">
        <f t="shared" si="13"/>
        <v>1</v>
      </c>
      <c r="O177" s="44"/>
      <c r="P177" s="196"/>
    </row>
    <row r="178" spans="1:16" x14ac:dyDescent="0.2">
      <c r="A178" s="8">
        <f t="shared" si="14"/>
        <v>172</v>
      </c>
      <c r="B178" s="1079">
        <f>'Membership Record'!B182</f>
        <v>0</v>
      </c>
      <c r="C178" s="1079"/>
      <c r="D178" s="191">
        <f>IF('Membership Record'!N182="",'Membership Record'!E182,'Membership Record'!N182)</f>
        <v>0</v>
      </c>
      <c r="E178" s="186" t="str">
        <f t="shared" si="10"/>
        <v/>
      </c>
      <c r="F178" s="39"/>
      <c r="G178" s="197"/>
      <c r="H178" s="193">
        <f t="shared" si="11"/>
        <v>1</v>
      </c>
      <c r="I178" s="193"/>
      <c r="K178" s="186" t="str">
        <f t="shared" si="12"/>
        <v/>
      </c>
      <c r="L178" s="39"/>
      <c r="M178" s="197"/>
      <c r="N178" s="193">
        <f t="shared" si="13"/>
        <v>1</v>
      </c>
      <c r="O178" s="44"/>
      <c r="P178" s="196"/>
    </row>
    <row r="179" spans="1:16" x14ac:dyDescent="0.2">
      <c r="A179" s="8">
        <f t="shared" si="14"/>
        <v>173</v>
      </c>
      <c r="B179" s="1079">
        <f>'Membership Record'!B183</f>
        <v>0</v>
      </c>
      <c r="C179" s="1079"/>
      <c r="D179" s="191">
        <f>IF('Membership Record'!N183="",'Membership Record'!E183,'Membership Record'!N183)</f>
        <v>0</v>
      </c>
      <c r="E179" s="186" t="str">
        <f t="shared" si="10"/>
        <v/>
      </c>
      <c r="F179" s="39"/>
      <c r="G179" s="197"/>
      <c r="H179" s="193">
        <f t="shared" si="11"/>
        <v>1</v>
      </c>
      <c r="I179" s="193"/>
      <c r="K179" s="186" t="str">
        <f t="shared" si="12"/>
        <v/>
      </c>
      <c r="L179" s="39"/>
      <c r="M179" s="197"/>
      <c r="N179" s="193">
        <f t="shared" si="13"/>
        <v>1</v>
      </c>
      <c r="O179" s="44"/>
      <c r="P179" s="196"/>
    </row>
    <row r="180" spans="1:16" x14ac:dyDescent="0.2">
      <c r="A180" s="8">
        <f t="shared" si="14"/>
        <v>174</v>
      </c>
      <c r="B180" s="1079">
        <f>'Membership Record'!B184</f>
        <v>0</v>
      </c>
      <c r="C180" s="1079"/>
      <c r="D180" s="191">
        <f>IF('Membership Record'!N184="",'Membership Record'!E184,'Membership Record'!N184)</f>
        <v>0</v>
      </c>
      <c r="E180" s="186" t="str">
        <f t="shared" si="10"/>
        <v/>
      </c>
      <c r="F180" s="39"/>
      <c r="G180" s="197"/>
      <c r="H180" s="193">
        <f t="shared" si="11"/>
        <v>1</v>
      </c>
      <c r="I180" s="193"/>
      <c r="K180" s="186" t="str">
        <f t="shared" si="12"/>
        <v/>
      </c>
      <c r="L180" s="39"/>
      <c r="M180" s="197"/>
      <c r="N180" s="193">
        <f t="shared" si="13"/>
        <v>1</v>
      </c>
      <c r="O180" s="44"/>
      <c r="P180" s="196"/>
    </row>
    <row r="181" spans="1:16" x14ac:dyDescent="0.2">
      <c r="A181" s="8">
        <f t="shared" si="14"/>
        <v>175</v>
      </c>
      <c r="B181" s="1079">
        <f>'Membership Record'!B185</f>
        <v>0</v>
      </c>
      <c r="C181" s="1079"/>
      <c r="D181" s="191">
        <f>IF('Membership Record'!N185="",'Membership Record'!E185,'Membership Record'!N185)</f>
        <v>0</v>
      </c>
      <c r="E181" s="186" t="str">
        <f t="shared" si="10"/>
        <v/>
      </c>
      <c r="F181" s="39"/>
      <c r="G181" s="197"/>
      <c r="H181" s="193">
        <f t="shared" si="11"/>
        <v>1</v>
      </c>
      <c r="I181" s="193"/>
      <c r="K181" s="186" t="str">
        <f t="shared" si="12"/>
        <v/>
      </c>
      <c r="L181" s="39"/>
      <c r="M181" s="197"/>
      <c r="N181" s="193">
        <f t="shared" si="13"/>
        <v>1</v>
      </c>
      <c r="O181" s="44"/>
      <c r="P181" s="196"/>
    </row>
    <row r="182" spans="1:16" x14ac:dyDescent="0.2">
      <c r="A182" s="8">
        <f t="shared" si="14"/>
        <v>176</v>
      </c>
      <c r="B182" s="1079">
        <f>'Membership Record'!B186</f>
        <v>0</v>
      </c>
      <c r="C182" s="1079"/>
      <c r="D182" s="191">
        <f>IF('Membership Record'!N186="",'Membership Record'!E186,'Membership Record'!N186)</f>
        <v>0</v>
      </c>
      <c r="E182" s="186" t="str">
        <f t="shared" si="10"/>
        <v/>
      </c>
      <c r="F182" s="39"/>
      <c r="G182" s="197"/>
      <c r="H182" s="193">
        <f t="shared" si="11"/>
        <v>1</v>
      </c>
      <c r="I182" s="193"/>
      <c r="K182" s="186" t="str">
        <f t="shared" si="12"/>
        <v/>
      </c>
      <c r="L182" s="39"/>
      <c r="M182" s="197"/>
      <c r="N182" s="193">
        <f t="shared" si="13"/>
        <v>1</v>
      </c>
      <c r="O182" s="44"/>
      <c r="P182" s="196"/>
    </row>
    <row r="183" spans="1:16" x14ac:dyDescent="0.2">
      <c r="A183" s="8">
        <f t="shared" si="14"/>
        <v>177</v>
      </c>
      <c r="B183" s="1079">
        <f>'Membership Record'!B187</f>
        <v>0</v>
      </c>
      <c r="C183" s="1079"/>
      <c r="D183" s="191">
        <f>IF('Membership Record'!N187="",'Membership Record'!E187,'Membership Record'!N187)</f>
        <v>0</v>
      </c>
      <c r="E183" s="186" t="str">
        <f t="shared" si="10"/>
        <v/>
      </c>
      <c r="F183" s="39"/>
      <c r="G183" s="197"/>
      <c r="H183" s="193">
        <f t="shared" si="11"/>
        <v>1</v>
      </c>
      <c r="I183" s="193"/>
      <c r="K183" s="186" t="str">
        <f t="shared" si="12"/>
        <v/>
      </c>
      <c r="L183" s="39"/>
      <c r="M183" s="197"/>
      <c r="N183" s="193">
        <f t="shared" si="13"/>
        <v>1</v>
      </c>
      <c r="O183" s="44"/>
      <c r="P183" s="196"/>
    </row>
    <row r="184" spans="1:16" x14ac:dyDescent="0.2">
      <c r="A184" s="8">
        <f t="shared" si="14"/>
        <v>178</v>
      </c>
      <c r="B184" s="1079">
        <f>'Membership Record'!B188</f>
        <v>0</v>
      </c>
      <c r="C184" s="1079"/>
      <c r="D184" s="191">
        <f>IF('Membership Record'!N188="",'Membership Record'!E188,'Membership Record'!N188)</f>
        <v>0</v>
      </c>
      <c r="E184" s="186" t="str">
        <f t="shared" si="10"/>
        <v/>
      </c>
      <c r="F184" s="39"/>
      <c r="G184" s="197"/>
      <c r="H184" s="193">
        <f t="shared" si="11"/>
        <v>1</v>
      </c>
      <c r="I184" s="193"/>
      <c r="K184" s="186" t="str">
        <f t="shared" si="12"/>
        <v/>
      </c>
      <c r="L184" s="39"/>
      <c r="M184" s="197"/>
      <c r="N184" s="193">
        <f t="shared" si="13"/>
        <v>1</v>
      </c>
      <c r="O184" s="44"/>
      <c r="P184" s="196"/>
    </row>
    <row r="185" spans="1:16" x14ac:dyDescent="0.2">
      <c r="A185" s="8">
        <f t="shared" si="14"/>
        <v>179</v>
      </c>
      <c r="B185" s="1079">
        <f>'Membership Record'!B189</f>
        <v>0</v>
      </c>
      <c r="C185" s="1079"/>
      <c r="D185" s="191">
        <f>IF('Membership Record'!N189="",'Membership Record'!E189,'Membership Record'!N189)</f>
        <v>0</v>
      </c>
      <c r="E185" s="186" t="str">
        <f t="shared" si="10"/>
        <v/>
      </c>
      <c r="F185" s="39"/>
      <c r="G185" s="197"/>
      <c r="H185" s="193">
        <f t="shared" si="11"/>
        <v>1</v>
      </c>
      <c r="I185" s="193"/>
      <c r="K185" s="186" t="str">
        <f t="shared" si="12"/>
        <v/>
      </c>
      <c r="L185" s="39"/>
      <c r="M185" s="197"/>
      <c r="N185" s="193">
        <f t="shared" si="13"/>
        <v>1</v>
      </c>
      <c r="O185" s="44"/>
      <c r="P185" s="196"/>
    </row>
    <row r="186" spans="1:16" x14ac:dyDescent="0.2">
      <c r="A186" s="8">
        <f t="shared" si="14"/>
        <v>180</v>
      </c>
      <c r="B186" s="1079">
        <f>'Membership Record'!B190</f>
        <v>0</v>
      </c>
      <c r="C186" s="1079"/>
      <c r="D186" s="191">
        <f>IF('Membership Record'!N190="",'Membership Record'!E190,'Membership Record'!N190)</f>
        <v>0</v>
      </c>
      <c r="E186" s="186" t="str">
        <f t="shared" si="10"/>
        <v/>
      </c>
      <c r="F186" s="39"/>
      <c r="G186" s="197"/>
      <c r="H186" s="193">
        <f t="shared" si="11"/>
        <v>1</v>
      </c>
      <c r="I186" s="193"/>
      <c r="K186" s="186" t="str">
        <f t="shared" si="12"/>
        <v/>
      </c>
      <c r="L186" s="39"/>
      <c r="M186" s="197"/>
      <c r="N186" s="193">
        <f t="shared" si="13"/>
        <v>1</v>
      </c>
      <c r="O186" s="44"/>
      <c r="P186" s="196"/>
    </row>
    <row r="187" spans="1:16" x14ac:dyDescent="0.2">
      <c r="A187" s="8">
        <f t="shared" si="14"/>
        <v>181</v>
      </c>
      <c r="B187" s="1079">
        <f>'Membership Record'!B191</f>
        <v>0</v>
      </c>
      <c r="C187" s="1079"/>
      <c r="D187" s="191">
        <f>IF('Membership Record'!N191="",'Membership Record'!E191,'Membership Record'!N191)</f>
        <v>0</v>
      </c>
      <c r="E187" s="186" t="str">
        <f t="shared" si="10"/>
        <v/>
      </c>
      <c r="F187" s="39"/>
      <c r="G187" s="197"/>
      <c r="H187" s="193">
        <f t="shared" si="11"/>
        <v>1</v>
      </c>
      <c r="I187" s="193"/>
      <c r="K187" s="186" t="str">
        <f t="shared" si="12"/>
        <v/>
      </c>
      <c r="L187" s="39"/>
      <c r="M187" s="197"/>
      <c r="N187" s="193">
        <f t="shared" si="13"/>
        <v>1</v>
      </c>
      <c r="O187" s="44"/>
      <c r="P187" s="196"/>
    </row>
    <row r="188" spans="1:16" x14ac:dyDescent="0.2">
      <c r="A188" s="8">
        <f t="shared" si="14"/>
        <v>182</v>
      </c>
      <c r="B188" s="1079">
        <f>'Membership Record'!B192</f>
        <v>0</v>
      </c>
      <c r="C188" s="1079"/>
      <c r="D188" s="191">
        <f>IF('Membership Record'!N192="",'Membership Record'!E192,'Membership Record'!N192)</f>
        <v>0</v>
      </c>
      <c r="E188" s="186" t="str">
        <f t="shared" si="10"/>
        <v/>
      </c>
      <c r="F188" s="39"/>
      <c r="G188" s="197"/>
      <c r="H188" s="193">
        <f t="shared" si="11"/>
        <v>1</v>
      </c>
      <c r="I188" s="193"/>
      <c r="K188" s="186" t="str">
        <f t="shared" si="12"/>
        <v/>
      </c>
      <c r="L188" s="39"/>
      <c r="M188" s="197"/>
      <c r="N188" s="193">
        <f t="shared" si="13"/>
        <v>1</v>
      </c>
      <c r="O188" s="44"/>
      <c r="P188" s="196"/>
    </row>
    <row r="189" spans="1:16" x14ac:dyDescent="0.2">
      <c r="A189" s="8">
        <f t="shared" si="14"/>
        <v>183</v>
      </c>
      <c r="B189" s="1079">
        <f>'Membership Record'!B193</f>
        <v>0</v>
      </c>
      <c r="C189" s="1079"/>
      <c r="D189" s="191">
        <f>IF('Membership Record'!N193="",'Membership Record'!E193,'Membership Record'!N193)</f>
        <v>0</v>
      </c>
      <c r="E189" s="186" t="str">
        <f t="shared" si="10"/>
        <v/>
      </c>
      <c r="F189" s="39"/>
      <c r="G189" s="197"/>
      <c r="H189" s="193">
        <f t="shared" si="11"/>
        <v>1</v>
      </c>
      <c r="I189" s="193"/>
      <c r="K189" s="186" t="str">
        <f t="shared" si="12"/>
        <v/>
      </c>
      <c r="L189" s="39"/>
      <c r="M189" s="197"/>
      <c r="N189" s="193">
        <f t="shared" si="13"/>
        <v>1</v>
      </c>
      <c r="O189" s="44"/>
      <c r="P189" s="196"/>
    </row>
    <row r="190" spans="1:16" x14ac:dyDescent="0.2">
      <c r="A190" s="8">
        <f t="shared" si="14"/>
        <v>184</v>
      </c>
      <c r="B190" s="1079">
        <f>'Membership Record'!B194</f>
        <v>0</v>
      </c>
      <c r="C190" s="1079"/>
      <c r="D190" s="191">
        <f>IF('Membership Record'!N194="",'Membership Record'!E194,'Membership Record'!N194)</f>
        <v>0</v>
      </c>
      <c r="E190" s="186" t="str">
        <f t="shared" si="10"/>
        <v/>
      </c>
      <c r="F190" s="39"/>
      <c r="G190" s="197"/>
      <c r="H190" s="193">
        <f t="shared" si="11"/>
        <v>1</v>
      </c>
      <c r="I190" s="193"/>
      <c r="K190" s="186" t="str">
        <f t="shared" si="12"/>
        <v/>
      </c>
      <c r="L190" s="39"/>
      <c r="M190" s="197"/>
      <c r="N190" s="193">
        <f t="shared" si="13"/>
        <v>1</v>
      </c>
      <c r="O190" s="44"/>
      <c r="P190" s="196"/>
    </row>
    <row r="191" spans="1:16" x14ac:dyDescent="0.2">
      <c r="A191" s="8">
        <f t="shared" si="14"/>
        <v>185</v>
      </c>
      <c r="B191" s="1079">
        <f>'Membership Record'!B195</f>
        <v>0</v>
      </c>
      <c r="C191" s="1079"/>
      <c r="D191" s="191">
        <f>IF('Membership Record'!N195="",'Membership Record'!E195,'Membership Record'!N195)</f>
        <v>0</v>
      </c>
      <c r="E191" s="186" t="str">
        <f t="shared" si="10"/>
        <v/>
      </c>
      <c r="F191" s="39"/>
      <c r="G191" s="197"/>
      <c r="H191" s="193">
        <f t="shared" si="11"/>
        <v>1</v>
      </c>
      <c r="I191" s="193"/>
      <c r="K191" s="186" t="str">
        <f t="shared" si="12"/>
        <v/>
      </c>
      <c r="L191" s="39"/>
      <c r="M191" s="197"/>
      <c r="N191" s="193">
        <f t="shared" si="13"/>
        <v>1</v>
      </c>
      <c r="O191" s="44"/>
      <c r="P191" s="196"/>
    </row>
    <row r="192" spans="1:16" x14ac:dyDescent="0.2">
      <c r="A192" s="8">
        <f t="shared" si="14"/>
        <v>186</v>
      </c>
      <c r="B192" s="1079">
        <f>'Membership Record'!B196</f>
        <v>0</v>
      </c>
      <c r="C192" s="1079"/>
      <c r="D192" s="191">
        <f>IF('Membership Record'!N196="",'Membership Record'!E196,'Membership Record'!N196)</f>
        <v>0</v>
      </c>
      <c r="E192" s="186" t="str">
        <f t="shared" si="10"/>
        <v/>
      </c>
      <c r="F192" s="39"/>
      <c r="G192" s="197"/>
      <c r="H192" s="193">
        <f t="shared" si="11"/>
        <v>1</v>
      </c>
      <c r="I192" s="193"/>
      <c r="K192" s="186" t="str">
        <f t="shared" si="12"/>
        <v/>
      </c>
      <c r="L192" s="39"/>
      <c r="M192" s="197"/>
      <c r="N192" s="193">
        <f t="shared" si="13"/>
        <v>1</v>
      </c>
      <c r="O192" s="44"/>
      <c r="P192" s="196"/>
    </row>
    <row r="193" spans="1:16" x14ac:dyDescent="0.2">
      <c r="A193" s="8">
        <f t="shared" si="14"/>
        <v>187</v>
      </c>
      <c r="B193" s="1079">
        <f>'Membership Record'!B197</f>
        <v>0</v>
      </c>
      <c r="C193" s="1079"/>
      <c r="D193" s="191">
        <f>IF('Membership Record'!N197="",'Membership Record'!E197,'Membership Record'!N197)</f>
        <v>0</v>
      </c>
      <c r="E193" s="186" t="str">
        <f t="shared" si="10"/>
        <v/>
      </c>
      <c r="F193" s="39"/>
      <c r="G193" s="197"/>
      <c r="H193" s="193">
        <f t="shared" si="11"/>
        <v>1</v>
      </c>
      <c r="I193" s="193"/>
      <c r="K193" s="186" t="str">
        <f t="shared" si="12"/>
        <v/>
      </c>
      <c r="L193" s="39"/>
      <c r="M193" s="197"/>
      <c r="N193" s="193">
        <f t="shared" si="13"/>
        <v>1</v>
      </c>
      <c r="O193" s="44"/>
      <c r="P193" s="196"/>
    </row>
    <row r="194" spans="1:16" x14ac:dyDescent="0.2">
      <c r="A194" s="8">
        <f t="shared" si="14"/>
        <v>188</v>
      </c>
      <c r="B194" s="1079">
        <f>'Membership Record'!B198</f>
        <v>0</v>
      </c>
      <c r="C194" s="1079"/>
      <c r="D194" s="191">
        <f>IF('Membership Record'!N198="",'Membership Record'!E198,'Membership Record'!N198)</f>
        <v>0</v>
      </c>
      <c r="E194" s="186" t="str">
        <f t="shared" si="10"/>
        <v/>
      </c>
      <c r="F194" s="39"/>
      <c r="G194" s="197"/>
      <c r="H194" s="193">
        <f t="shared" si="11"/>
        <v>1</v>
      </c>
      <c r="I194" s="193"/>
      <c r="K194" s="186" t="str">
        <f t="shared" si="12"/>
        <v/>
      </c>
      <c r="L194" s="39"/>
      <c r="M194" s="197"/>
      <c r="N194" s="193">
        <f t="shared" si="13"/>
        <v>1</v>
      </c>
      <c r="O194" s="44"/>
      <c r="P194" s="196"/>
    </row>
    <row r="195" spans="1:16" x14ac:dyDescent="0.2">
      <c r="A195" s="8">
        <f t="shared" si="14"/>
        <v>189</v>
      </c>
      <c r="B195" s="1079">
        <f>'Membership Record'!B199</f>
        <v>0</v>
      </c>
      <c r="C195" s="1079"/>
      <c r="D195" s="191">
        <f>IF('Membership Record'!N199="",'Membership Record'!E199,'Membership Record'!N199)</f>
        <v>0</v>
      </c>
      <c r="E195" s="186" t="str">
        <f t="shared" si="10"/>
        <v/>
      </c>
      <c r="F195" s="39"/>
      <c r="G195" s="197"/>
      <c r="H195" s="193">
        <f t="shared" si="11"/>
        <v>1</v>
      </c>
      <c r="I195" s="193"/>
      <c r="K195" s="186" t="str">
        <f t="shared" si="12"/>
        <v/>
      </c>
      <c r="L195" s="39"/>
      <c r="M195" s="197"/>
      <c r="N195" s="193">
        <f t="shared" si="13"/>
        <v>1</v>
      </c>
      <c r="O195" s="44"/>
      <c r="P195" s="196"/>
    </row>
    <row r="196" spans="1:16" x14ac:dyDescent="0.2">
      <c r="A196" s="8">
        <f t="shared" si="14"/>
        <v>190</v>
      </c>
      <c r="B196" s="1079">
        <f>'Membership Record'!B200</f>
        <v>0</v>
      </c>
      <c r="C196" s="1079"/>
      <c r="D196" s="191">
        <f>IF('Membership Record'!N200="",'Membership Record'!E200,'Membership Record'!N200)</f>
        <v>0</v>
      </c>
      <c r="E196" s="186" t="str">
        <f t="shared" si="10"/>
        <v/>
      </c>
      <c r="F196" s="39"/>
      <c r="G196" s="197"/>
      <c r="H196" s="193">
        <f t="shared" si="11"/>
        <v>1</v>
      </c>
      <c r="I196" s="193"/>
      <c r="K196" s="186" t="str">
        <f t="shared" si="12"/>
        <v/>
      </c>
      <c r="L196" s="39"/>
      <c r="M196" s="197"/>
      <c r="N196" s="193">
        <f t="shared" si="13"/>
        <v>1</v>
      </c>
      <c r="O196" s="44"/>
      <c r="P196" s="196"/>
    </row>
    <row r="197" spans="1:16" x14ac:dyDescent="0.2">
      <c r="A197" s="8">
        <f t="shared" si="14"/>
        <v>191</v>
      </c>
      <c r="B197" s="1079">
        <f>'Membership Record'!B201</f>
        <v>0</v>
      </c>
      <c r="C197" s="1079"/>
      <c r="D197" s="191">
        <f>IF('Membership Record'!N201="",'Membership Record'!E201,'Membership Record'!N201)</f>
        <v>0</v>
      </c>
      <c r="E197" s="186" t="str">
        <f t="shared" si="10"/>
        <v/>
      </c>
      <c r="F197" s="39"/>
      <c r="G197" s="197"/>
      <c r="H197" s="193">
        <f t="shared" si="11"/>
        <v>1</v>
      </c>
      <c r="I197" s="193"/>
      <c r="K197" s="186" t="str">
        <f t="shared" si="12"/>
        <v/>
      </c>
      <c r="L197" s="39"/>
      <c r="M197" s="197"/>
      <c r="N197" s="193">
        <f t="shared" si="13"/>
        <v>1</v>
      </c>
      <c r="O197" s="44"/>
      <c r="P197" s="196"/>
    </row>
    <row r="198" spans="1:16" x14ac:dyDescent="0.2">
      <c r="A198" s="8">
        <f t="shared" si="14"/>
        <v>192</v>
      </c>
      <c r="B198" s="1079">
        <f>'Membership Record'!B202</f>
        <v>0</v>
      </c>
      <c r="C198" s="1079"/>
      <c r="D198" s="191">
        <f>IF('Membership Record'!N202="",'Membership Record'!E202,'Membership Record'!N202)</f>
        <v>0</v>
      </c>
      <c r="E198" s="186" t="str">
        <f t="shared" si="10"/>
        <v/>
      </c>
      <c r="F198" s="39"/>
      <c r="G198" s="197"/>
      <c r="H198" s="193">
        <f t="shared" si="11"/>
        <v>1</v>
      </c>
      <c r="I198" s="193"/>
      <c r="K198" s="186" t="str">
        <f t="shared" si="12"/>
        <v/>
      </c>
      <c r="L198" s="39"/>
      <c r="M198" s="197"/>
      <c r="N198" s="193">
        <f t="shared" si="13"/>
        <v>1</v>
      </c>
      <c r="O198" s="44"/>
      <c r="P198" s="196"/>
    </row>
    <row r="199" spans="1:16" x14ac:dyDescent="0.2">
      <c r="A199" s="8">
        <f t="shared" si="14"/>
        <v>193</v>
      </c>
      <c r="B199" s="1079">
        <f>'Membership Record'!B203</f>
        <v>0</v>
      </c>
      <c r="C199" s="1079"/>
      <c r="D199" s="191">
        <f>IF('Membership Record'!N203="",'Membership Record'!E203,'Membership Record'!N203)</f>
        <v>0</v>
      </c>
      <c r="E199" s="186" t="str">
        <f t="shared" si="10"/>
        <v/>
      </c>
      <c r="F199" s="39"/>
      <c r="G199" s="197"/>
      <c r="H199" s="193">
        <f t="shared" si="11"/>
        <v>1</v>
      </c>
      <c r="I199" s="193"/>
      <c r="K199" s="186" t="str">
        <f t="shared" si="12"/>
        <v/>
      </c>
      <c r="L199" s="39"/>
      <c r="M199" s="197"/>
      <c r="N199" s="193">
        <f t="shared" si="13"/>
        <v>1</v>
      </c>
      <c r="O199" s="44"/>
      <c r="P199" s="196"/>
    </row>
    <row r="200" spans="1:16" x14ac:dyDescent="0.2">
      <c r="A200" s="8">
        <f t="shared" si="14"/>
        <v>194</v>
      </c>
      <c r="B200" s="1079">
        <f>'Membership Record'!B204</f>
        <v>0</v>
      </c>
      <c r="C200" s="1079"/>
      <c r="D200" s="191">
        <f>IF('Membership Record'!N204="",'Membership Record'!E204,'Membership Record'!N204)</f>
        <v>0</v>
      </c>
      <c r="E200" s="186" t="str">
        <f t="shared" ref="E200:E263" si="15">IF(D200="Candidate",100,IF(F200="No",100,""))</f>
        <v/>
      </c>
      <c r="F200" s="39"/>
      <c r="G200" s="197"/>
      <c r="H200" s="193">
        <f t="shared" ref="H200:H263" si="16">MONTH(G200)</f>
        <v>1</v>
      </c>
      <c r="I200" s="193"/>
      <c r="K200" s="186" t="str">
        <f t="shared" ref="K200:K263" si="17">IF(D200="Candidate",230,IF(L200="No",230,""))</f>
        <v/>
      </c>
      <c r="L200" s="39"/>
      <c r="M200" s="197"/>
      <c r="N200" s="193">
        <f t="shared" ref="N200:N263" si="18">MONTH(M200)</f>
        <v>1</v>
      </c>
      <c r="O200" s="44"/>
      <c r="P200" s="196"/>
    </row>
    <row r="201" spans="1:16" x14ac:dyDescent="0.2">
      <c r="A201" s="8">
        <f t="shared" ref="A201:A264" si="19">A200+1</f>
        <v>195</v>
      </c>
      <c r="B201" s="1079">
        <f>'Membership Record'!B205</f>
        <v>0</v>
      </c>
      <c r="C201" s="1079"/>
      <c r="D201" s="191">
        <f>IF('Membership Record'!N205="",'Membership Record'!E205,'Membership Record'!N205)</f>
        <v>0</v>
      </c>
      <c r="E201" s="186" t="str">
        <f t="shared" si="15"/>
        <v/>
      </c>
      <c r="F201" s="39"/>
      <c r="G201" s="197"/>
      <c r="H201" s="193">
        <f t="shared" si="16"/>
        <v>1</v>
      </c>
      <c r="I201" s="193"/>
      <c r="K201" s="186" t="str">
        <f t="shared" si="17"/>
        <v/>
      </c>
      <c r="L201" s="39"/>
      <c r="M201" s="197"/>
      <c r="N201" s="193">
        <f t="shared" si="18"/>
        <v>1</v>
      </c>
      <c r="O201" s="44"/>
      <c r="P201" s="196"/>
    </row>
    <row r="202" spans="1:16" x14ac:dyDescent="0.2">
      <c r="A202" s="8">
        <f t="shared" si="19"/>
        <v>196</v>
      </c>
      <c r="B202" s="1079">
        <f>'Membership Record'!B206</f>
        <v>0</v>
      </c>
      <c r="C202" s="1079"/>
      <c r="D202" s="191">
        <f>IF('Membership Record'!N206="",'Membership Record'!E206,'Membership Record'!N206)</f>
        <v>0</v>
      </c>
      <c r="E202" s="186" t="str">
        <f t="shared" si="15"/>
        <v/>
      </c>
      <c r="F202" s="39"/>
      <c r="G202" s="197"/>
      <c r="H202" s="193">
        <f t="shared" si="16"/>
        <v>1</v>
      </c>
      <c r="I202" s="193"/>
      <c r="K202" s="186" t="str">
        <f t="shared" si="17"/>
        <v/>
      </c>
      <c r="L202" s="39"/>
      <c r="M202" s="197"/>
      <c r="N202" s="193">
        <f t="shared" si="18"/>
        <v>1</v>
      </c>
      <c r="O202" s="44"/>
      <c r="P202" s="196"/>
    </row>
    <row r="203" spans="1:16" x14ac:dyDescent="0.2">
      <c r="A203" s="8">
        <f t="shared" si="19"/>
        <v>197</v>
      </c>
      <c r="B203" s="1079">
        <f>'Membership Record'!B207</f>
        <v>0</v>
      </c>
      <c r="C203" s="1079"/>
      <c r="D203" s="191">
        <f>IF('Membership Record'!N207="",'Membership Record'!E207,'Membership Record'!N207)</f>
        <v>0</v>
      </c>
      <c r="E203" s="186" t="str">
        <f t="shared" si="15"/>
        <v/>
      </c>
      <c r="F203" s="39"/>
      <c r="G203" s="197"/>
      <c r="H203" s="193">
        <f t="shared" si="16"/>
        <v>1</v>
      </c>
      <c r="I203" s="193"/>
      <c r="K203" s="186" t="str">
        <f t="shared" si="17"/>
        <v/>
      </c>
      <c r="L203" s="39"/>
      <c r="M203" s="197"/>
      <c r="N203" s="193">
        <f t="shared" si="18"/>
        <v>1</v>
      </c>
      <c r="O203" s="44"/>
      <c r="P203" s="196"/>
    </row>
    <row r="204" spans="1:16" x14ac:dyDescent="0.2">
      <c r="A204" s="8">
        <f t="shared" si="19"/>
        <v>198</v>
      </c>
      <c r="B204" s="1079">
        <f>'Membership Record'!B208</f>
        <v>0</v>
      </c>
      <c r="C204" s="1079"/>
      <c r="D204" s="191">
        <f>IF('Membership Record'!N208="",'Membership Record'!E208,'Membership Record'!N208)</f>
        <v>0</v>
      </c>
      <c r="E204" s="186" t="str">
        <f t="shared" si="15"/>
        <v/>
      </c>
      <c r="F204" s="39"/>
      <c r="G204" s="197"/>
      <c r="H204" s="193">
        <f t="shared" si="16"/>
        <v>1</v>
      </c>
      <c r="I204" s="193"/>
      <c r="K204" s="186" t="str">
        <f t="shared" si="17"/>
        <v/>
      </c>
      <c r="L204" s="39"/>
      <c r="M204" s="197"/>
      <c r="N204" s="193">
        <f t="shared" si="18"/>
        <v>1</v>
      </c>
      <c r="O204" s="44"/>
      <c r="P204" s="196"/>
    </row>
    <row r="205" spans="1:16" x14ac:dyDescent="0.2">
      <c r="A205" s="8">
        <f t="shared" si="19"/>
        <v>199</v>
      </c>
      <c r="B205" s="1079">
        <f>'Membership Record'!B209</f>
        <v>0</v>
      </c>
      <c r="C205" s="1079"/>
      <c r="D205" s="191">
        <f>IF('Membership Record'!N209="",'Membership Record'!E209,'Membership Record'!N209)</f>
        <v>0</v>
      </c>
      <c r="E205" s="186" t="str">
        <f t="shared" si="15"/>
        <v/>
      </c>
      <c r="F205" s="39"/>
      <c r="G205" s="197"/>
      <c r="H205" s="193">
        <f t="shared" si="16"/>
        <v>1</v>
      </c>
      <c r="I205" s="193"/>
      <c r="K205" s="186" t="str">
        <f t="shared" si="17"/>
        <v/>
      </c>
      <c r="L205" s="39"/>
      <c r="M205" s="197"/>
      <c r="N205" s="193">
        <f t="shared" si="18"/>
        <v>1</v>
      </c>
      <c r="O205" s="44"/>
      <c r="P205" s="196"/>
    </row>
    <row r="206" spans="1:16" x14ac:dyDescent="0.2">
      <c r="A206" s="8">
        <f t="shared" si="19"/>
        <v>200</v>
      </c>
      <c r="B206" s="1079">
        <f>'Membership Record'!B210</f>
        <v>0</v>
      </c>
      <c r="C206" s="1079"/>
      <c r="D206" s="191">
        <f>IF('Membership Record'!N210="",'Membership Record'!E210,'Membership Record'!N210)</f>
        <v>0</v>
      </c>
      <c r="E206" s="186" t="str">
        <f t="shared" si="15"/>
        <v/>
      </c>
      <c r="F206" s="39"/>
      <c r="G206" s="197"/>
      <c r="H206" s="193">
        <f t="shared" si="16"/>
        <v>1</v>
      </c>
      <c r="I206" s="193"/>
      <c r="K206" s="186" t="str">
        <f t="shared" si="17"/>
        <v/>
      </c>
      <c r="L206" s="39"/>
      <c r="M206" s="197"/>
      <c r="N206" s="193">
        <f t="shared" si="18"/>
        <v>1</v>
      </c>
      <c r="O206" s="44"/>
      <c r="P206" s="196"/>
    </row>
    <row r="207" spans="1:16" x14ac:dyDescent="0.2">
      <c r="A207" s="8">
        <f t="shared" si="19"/>
        <v>201</v>
      </c>
      <c r="B207" s="1079">
        <f>'Membership Record'!B211</f>
        <v>0</v>
      </c>
      <c r="C207" s="1079"/>
      <c r="D207" s="191">
        <f>IF('Membership Record'!N211="",'Membership Record'!E211,'Membership Record'!N211)</f>
        <v>0</v>
      </c>
      <c r="E207" s="186" t="str">
        <f t="shared" si="15"/>
        <v/>
      </c>
      <c r="F207" s="39"/>
      <c r="G207" s="197"/>
      <c r="H207" s="193">
        <f t="shared" si="16"/>
        <v>1</v>
      </c>
      <c r="I207" s="193"/>
      <c r="K207" s="186" t="str">
        <f t="shared" si="17"/>
        <v/>
      </c>
      <c r="L207" s="39"/>
      <c r="M207" s="197"/>
      <c r="N207" s="193">
        <f t="shared" si="18"/>
        <v>1</v>
      </c>
      <c r="O207" s="44"/>
      <c r="P207" s="196"/>
    </row>
    <row r="208" spans="1:16" x14ac:dyDescent="0.2">
      <c r="A208" s="8">
        <f t="shared" si="19"/>
        <v>202</v>
      </c>
      <c r="B208" s="1079">
        <f>'Membership Record'!B212</f>
        <v>0</v>
      </c>
      <c r="C208" s="1079"/>
      <c r="D208" s="191">
        <f>IF('Membership Record'!N212="",'Membership Record'!E212,'Membership Record'!N212)</f>
        <v>0</v>
      </c>
      <c r="E208" s="186" t="str">
        <f t="shared" si="15"/>
        <v/>
      </c>
      <c r="F208" s="39"/>
      <c r="G208" s="197"/>
      <c r="H208" s="193">
        <f t="shared" si="16"/>
        <v>1</v>
      </c>
      <c r="I208" s="193"/>
      <c r="K208" s="186" t="str">
        <f t="shared" si="17"/>
        <v/>
      </c>
      <c r="L208" s="39"/>
      <c r="M208" s="197"/>
      <c r="N208" s="193">
        <f t="shared" si="18"/>
        <v>1</v>
      </c>
      <c r="O208" s="44"/>
      <c r="P208" s="196"/>
    </row>
    <row r="209" spans="1:16" x14ac:dyDescent="0.2">
      <c r="A209" s="8">
        <f t="shared" si="19"/>
        <v>203</v>
      </c>
      <c r="B209" s="1079">
        <f>'Membership Record'!B213</f>
        <v>0</v>
      </c>
      <c r="C209" s="1079"/>
      <c r="D209" s="191">
        <f>IF('Membership Record'!N213="",'Membership Record'!E213,'Membership Record'!N213)</f>
        <v>0</v>
      </c>
      <c r="E209" s="186" t="str">
        <f t="shared" si="15"/>
        <v/>
      </c>
      <c r="F209" s="39"/>
      <c r="G209" s="197"/>
      <c r="H209" s="193">
        <f t="shared" si="16"/>
        <v>1</v>
      </c>
      <c r="I209" s="193"/>
      <c r="K209" s="186" t="str">
        <f t="shared" si="17"/>
        <v/>
      </c>
      <c r="L209" s="39"/>
      <c r="M209" s="197"/>
      <c r="N209" s="193">
        <f t="shared" si="18"/>
        <v>1</v>
      </c>
      <c r="O209" s="44"/>
      <c r="P209" s="196"/>
    </row>
    <row r="210" spans="1:16" x14ac:dyDescent="0.2">
      <c r="A210" s="8">
        <f t="shared" si="19"/>
        <v>204</v>
      </c>
      <c r="B210" s="1079">
        <f>'Membership Record'!B214</f>
        <v>0</v>
      </c>
      <c r="C210" s="1079"/>
      <c r="D210" s="191">
        <f>IF('Membership Record'!N214="",'Membership Record'!E214,'Membership Record'!N214)</f>
        <v>0</v>
      </c>
      <c r="E210" s="186" t="str">
        <f t="shared" si="15"/>
        <v/>
      </c>
      <c r="F210" s="39"/>
      <c r="G210" s="197"/>
      <c r="H210" s="193">
        <f t="shared" si="16"/>
        <v>1</v>
      </c>
      <c r="I210" s="193"/>
      <c r="K210" s="186" t="str">
        <f t="shared" si="17"/>
        <v/>
      </c>
      <c r="L210" s="39"/>
      <c r="M210" s="197"/>
      <c r="N210" s="193">
        <f t="shared" si="18"/>
        <v>1</v>
      </c>
      <c r="O210" s="44"/>
      <c r="P210" s="196"/>
    </row>
    <row r="211" spans="1:16" x14ac:dyDescent="0.2">
      <c r="A211" s="8">
        <f t="shared" si="19"/>
        <v>205</v>
      </c>
      <c r="B211" s="1079">
        <f>'Membership Record'!B215</f>
        <v>0</v>
      </c>
      <c r="C211" s="1079"/>
      <c r="D211" s="191">
        <f>IF('Membership Record'!N215="",'Membership Record'!E215,'Membership Record'!N215)</f>
        <v>0</v>
      </c>
      <c r="E211" s="186" t="str">
        <f t="shared" si="15"/>
        <v/>
      </c>
      <c r="F211" s="39"/>
      <c r="G211" s="197"/>
      <c r="H211" s="193">
        <f t="shared" si="16"/>
        <v>1</v>
      </c>
      <c r="I211" s="193"/>
      <c r="K211" s="186" t="str">
        <f t="shared" si="17"/>
        <v/>
      </c>
      <c r="L211" s="39"/>
      <c r="M211" s="197"/>
      <c r="N211" s="193">
        <f t="shared" si="18"/>
        <v>1</v>
      </c>
      <c r="O211" s="44"/>
      <c r="P211" s="196"/>
    </row>
    <row r="212" spans="1:16" x14ac:dyDescent="0.2">
      <c r="A212" s="8">
        <f t="shared" si="19"/>
        <v>206</v>
      </c>
      <c r="B212" s="1079">
        <f>'Membership Record'!B216</f>
        <v>0</v>
      </c>
      <c r="C212" s="1079"/>
      <c r="D212" s="191">
        <f>IF('Membership Record'!N216="",'Membership Record'!E216,'Membership Record'!N216)</f>
        <v>0</v>
      </c>
      <c r="E212" s="186" t="str">
        <f t="shared" si="15"/>
        <v/>
      </c>
      <c r="F212" s="39"/>
      <c r="G212" s="197"/>
      <c r="H212" s="193">
        <f t="shared" si="16"/>
        <v>1</v>
      </c>
      <c r="I212" s="193"/>
      <c r="K212" s="186" t="str">
        <f t="shared" si="17"/>
        <v/>
      </c>
      <c r="L212" s="39"/>
      <c r="M212" s="197"/>
      <c r="N212" s="193">
        <f t="shared" si="18"/>
        <v>1</v>
      </c>
      <c r="O212" s="44"/>
      <c r="P212" s="196"/>
    </row>
    <row r="213" spans="1:16" x14ac:dyDescent="0.2">
      <c r="A213" s="8">
        <f t="shared" si="19"/>
        <v>207</v>
      </c>
      <c r="B213" s="1079">
        <f>'Membership Record'!B217</f>
        <v>0</v>
      </c>
      <c r="C213" s="1079"/>
      <c r="D213" s="191">
        <f>IF('Membership Record'!N217="",'Membership Record'!E217,'Membership Record'!N217)</f>
        <v>0</v>
      </c>
      <c r="E213" s="186" t="str">
        <f t="shared" si="15"/>
        <v/>
      </c>
      <c r="F213" s="39"/>
      <c r="G213" s="197"/>
      <c r="H213" s="193">
        <f t="shared" si="16"/>
        <v>1</v>
      </c>
      <c r="I213" s="193"/>
      <c r="K213" s="186" t="str">
        <f t="shared" si="17"/>
        <v/>
      </c>
      <c r="L213" s="39"/>
      <c r="M213" s="197"/>
      <c r="N213" s="193">
        <f t="shared" si="18"/>
        <v>1</v>
      </c>
      <c r="O213" s="44"/>
      <c r="P213" s="196"/>
    </row>
    <row r="214" spans="1:16" x14ac:dyDescent="0.2">
      <c r="A214" s="8">
        <f t="shared" si="19"/>
        <v>208</v>
      </c>
      <c r="B214" s="1079">
        <f>'Membership Record'!B218</f>
        <v>0</v>
      </c>
      <c r="C214" s="1079"/>
      <c r="D214" s="191">
        <f>IF('Membership Record'!N218="",'Membership Record'!E218,'Membership Record'!N218)</f>
        <v>0</v>
      </c>
      <c r="E214" s="186" t="str">
        <f t="shared" si="15"/>
        <v/>
      </c>
      <c r="F214" s="39"/>
      <c r="G214" s="197"/>
      <c r="H214" s="193">
        <f t="shared" si="16"/>
        <v>1</v>
      </c>
      <c r="I214" s="193"/>
      <c r="K214" s="186" t="str">
        <f t="shared" si="17"/>
        <v/>
      </c>
      <c r="L214" s="39"/>
      <c r="M214" s="197"/>
      <c r="N214" s="193">
        <f t="shared" si="18"/>
        <v>1</v>
      </c>
      <c r="O214" s="44"/>
      <c r="P214" s="196"/>
    </row>
    <row r="215" spans="1:16" x14ac:dyDescent="0.2">
      <c r="A215" s="8">
        <f t="shared" si="19"/>
        <v>209</v>
      </c>
      <c r="B215" s="1079">
        <f>'Membership Record'!B219</f>
        <v>0</v>
      </c>
      <c r="C215" s="1079"/>
      <c r="D215" s="191">
        <f>IF('Membership Record'!N219="",'Membership Record'!E219,'Membership Record'!N219)</f>
        <v>0</v>
      </c>
      <c r="E215" s="186" t="str">
        <f t="shared" si="15"/>
        <v/>
      </c>
      <c r="F215" s="39"/>
      <c r="G215" s="197"/>
      <c r="H215" s="193">
        <f t="shared" si="16"/>
        <v>1</v>
      </c>
      <c r="I215" s="193"/>
      <c r="K215" s="186" t="str">
        <f t="shared" si="17"/>
        <v/>
      </c>
      <c r="L215" s="39"/>
      <c r="M215" s="197"/>
      <c r="N215" s="193">
        <f t="shared" si="18"/>
        <v>1</v>
      </c>
      <c r="O215" s="44"/>
      <c r="P215" s="196"/>
    </row>
    <row r="216" spans="1:16" x14ac:dyDescent="0.2">
      <c r="A216" s="8">
        <f t="shared" si="19"/>
        <v>210</v>
      </c>
      <c r="B216" s="1079">
        <f>'Membership Record'!B220</f>
        <v>0</v>
      </c>
      <c r="C216" s="1079"/>
      <c r="D216" s="191">
        <f>IF('Membership Record'!N220="",'Membership Record'!E220,'Membership Record'!N220)</f>
        <v>0</v>
      </c>
      <c r="E216" s="186" t="str">
        <f t="shared" si="15"/>
        <v/>
      </c>
      <c r="F216" s="39"/>
      <c r="G216" s="197"/>
      <c r="H216" s="193">
        <f t="shared" si="16"/>
        <v>1</v>
      </c>
      <c r="I216" s="193"/>
      <c r="K216" s="186" t="str">
        <f t="shared" si="17"/>
        <v/>
      </c>
      <c r="L216" s="39"/>
      <c r="M216" s="197"/>
      <c r="N216" s="193">
        <f t="shared" si="18"/>
        <v>1</v>
      </c>
      <c r="O216" s="44"/>
      <c r="P216" s="196"/>
    </row>
    <row r="217" spans="1:16" x14ac:dyDescent="0.2">
      <c r="A217" s="8">
        <f t="shared" si="19"/>
        <v>211</v>
      </c>
      <c r="B217" s="1079">
        <f>'Membership Record'!B221</f>
        <v>0</v>
      </c>
      <c r="C217" s="1079"/>
      <c r="D217" s="191">
        <f>IF('Membership Record'!N221="",'Membership Record'!E221,'Membership Record'!N221)</f>
        <v>0</v>
      </c>
      <c r="E217" s="186" t="str">
        <f t="shared" si="15"/>
        <v/>
      </c>
      <c r="F217" s="39"/>
      <c r="G217" s="197"/>
      <c r="H217" s="193">
        <f t="shared" si="16"/>
        <v>1</v>
      </c>
      <c r="I217" s="193"/>
      <c r="K217" s="186" t="str">
        <f t="shared" si="17"/>
        <v/>
      </c>
      <c r="L217" s="39"/>
      <c r="M217" s="197"/>
      <c r="N217" s="193">
        <f t="shared" si="18"/>
        <v>1</v>
      </c>
      <c r="O217" s="44"/>
      <c r="P217" s="196"/>
    </row>
    <row r="218" spans="1:16" x14ac:dyDescent="0.2">
      <c r="A218" s="8">
        <f t="shared" si="19"/>
        <v>212</v>
      </c>
      <c r="B218" s="1079">
        <f>'Membership Record'!B222</f>
        <v>0</v>
      </c>
      <c r="C218" s="1079"/>
      <c r="D218" s="191">
        <f>IF('Membership Record'!N222="",'Membership Record'!E222,'Membership Record'!N222)</f>
        <v>0</v>
      </c>
      <c r="E218" s="186" t="str">
        <f t="shared" si="15"/>
        <v/>
      </c>
      <c r="F218" s="39"/>
      <c r="G218" s="197"/>
      <c r="H218" s="193">
        <f t="shared" si="16"/>
        <v>1</v>
      </c>
      <c r="I218" s="193"/>
      <c r="K218" s="186" t="str">
        <f t="shared" si="17"/>
        <v/>
      </c>
      <c r="L218" s="39"/>
      <c r="M218" s="197"/>
      <c r="N218" s="193">
        <f t="shared" si="18"/>
        <v>1</v>
      </c>
      <c r="O218" s="44"/>
      <c r="P218" s="196"/>
    </row>
    <row r="219" spans="1:16" x14ac:dyDescent="0.2">
      <c r="A219" s="8">
        <f t="shared" si="19"/>
        <v>213</v>
      </c>
      <c r="B219" s="1079">
        <f>'Membership Record'!B223</f>
        <v>0</v>
      </c>
      <c r="C219" s="1079"/>
      <c r="D219" s="191">
        <f>IF('Membership Record'!N223="",'Membership Record'!E223,'Membership Record'!N223)</f>
        <v>0</v>
      </c>
      <c r="E219" s="186" t="str">
        <f t="shared" si="15"/>
        <v/>
      </c>
      <c r="F219" s="39"/>
      <c r="G219" s="197"/>
      <c r="H219" s="193">
        <f t="shared" si="16"/>
        <v>1</v>
      </c>
      <c r="I219" s="193"/>
      <c r="K219" s="186" t="str">
        <f t="shared" si="17"/>
        <v/>
      </c>
      <c r="L219" s="39"/>
      <c r="M219" s="197"/>
      <c r="N219" s="193">
        <f t="shared" si="18"/>
        <v>1</v>
      </c>
      <c r="O219" s="44"/>
      <c r="P219" s="196"/>
    </row>
    <row r="220" spans="1:16" x14ac:dyDescent="0.2">
      <c r="A220" s="8">
        <f t="shared" si="19"/>
        <v>214</v>
      </c>
      <c r="B220" s="1079">
        <f>'Membership Record'!B224</f>
        <v>0</v>
      </c>
      <c r="C220" s="1079"/>
      <c r="D220" s="191">
        <f>IF('Membership Record'!N224="",'Membership Record'!E224,'Membership Record'!N224)</f>
        <v>0</v>
      </c>
      <c r="E220" s="186" t="str">
        <f t="shared" si="15"/>
        <v/>
      </c>
      <c r="F220" s="39"/>
      <c r="G220" s="197"/>
      <c r="H220" s="193">
        <f t="shared" si="16"/>
        <v>1</v>
      </c>
      <c r="I220" s="193"/>
      <c r="K220" s="186" t="str">
        <f t="shared" si="17"/>
        <v/>
      </c>
      <c r="L220" s="39"/>
      <c r="M220" s="197"/>
      <c r="N220" s="193">
        <f t="shared" si="18"/>
        <v>1</v>
      </c>
      <c r="O220" s="44"/>
      <c r="P220" s="196"/>
    </row>
    <row r="221" spans="1:16" x14ac:dyDescent="0.2">
      <c r="A221" s="8">
        <f t="shared" si="19"/>
        <v>215</v>
      </c>
      <c r="B221" s="1079">
        <f>'Membership Record'!B225</f>
        <v>0</v>
      </c>
      <c r="C221" s="1079"/>
      <c r="D221" s="191">
        <f>IF('Membership Record'!N225="",'Membership Record'!E225,'Membership Record'!N225)</f>
        <v>0</v>
      </c>
      <c r="E221" s="186" t="str">
        <f t="shared" si="15"/>
        <v/>
      </c>
      <c r="F221" s="39"/>
      <c r="G221" s="197"/>
      <c r="H221" s="193">
        <f t="shared" si="16"/>
        <v>1</v>
      </c>
      <c r="I221" s="193"/>
      <c r="K221" s="186" t="str">
        <f t="shared" si="17"/>
        <v/>
      </c>
      <c r="L221" s="39"/>
      <c r="M221" s="197"/>
      <c r="N221" s="193">
        <f t="shared" si="18"/>
        <v>1</v>
      </c>
      <c r="O221" s="44"/>
      <c r="P221" s="196"/>
    </row>
    <row r="222" spans="1:16" x14ac:dyDescent="0.2">
      <c r="A222" s="8">
        <f t="shared" si="19"/>
        <v>216</v>
      </c>
      <c r="B222" s="1079">
        <f>'Membership Record'!B226</f>
        <v>0</v>
      </c>
      <c r="C222" s="1079"/>
      <c r="D222" s="191">
        <f>IF('Membership Record'!N226="",'Membership Record'!E226,'Membership Record'!N226)</f>
        <v>0</v>
      </c>
      <c r="E222" s="186" t="str">
        <f t="shared" si="15"/>
        <v/>
      </c>
      <c r="F222" s="39"/>
      <c r="G222" s="197"/>
      <c r="H222" s="193">
        <f t="shared" si="16"/>
        <v>1</v>
      </c>
      <c r="I222" s="193"/>
      <c r="K222" s="186" t="str">
        <f t="shared" si="17"/>
        <v/>
      </c>
      <c r="L222" s="39"/>
      <c r="M222" s="197"/>
      <c r="N222" s="193">
        <f t="shared" si="18"/>
        <v>1</v>
      </c>
      <c r="O222" s="44"/>
      <c r="P222" s="196"/>
    </row>
    <row r="223" spans="1:16" x14ac:dyDescent="0.2">
      <c r="A223" s="8">
        <f t="shared" si="19"/>
        <v>217</v>
      </c>
      <c r="B223" s="1079">
        <f>'Membership Record'!B227</f>
        <v>0</v>
      </c>
      <c r="C223" s="1079"/>
      <c r="D223" s="191">
        <f>IF('Membership Record'!N227="",'Membership Record'!E227,'Membership Record'!N227)</f>
        <v>0</v>
      </c>
      <c r="E223" s="186" t="str">
        <f t="shared" si="15"/>
        <v/>
      </c>
      <c r="F223" s="39"/>
      <c r="G223" s="197"/>
      <c r="H223" s="193">
        <f t="shared" si="16"/>
        <v>1</v>
      </c>
      <c r="I223" s="193"/>
      <c r="K223" s="186" t="str">
        <f t="shared" si="17"/>
        <v/>
      </c>
      <c r="L223" s="39"/>
      <c r="M223" s="197"/>
      <c r="N223" s="193">
        <f t="shared" si="18"/>
        <v>1</v>
      </c>
      <c r="O223" s="44"/>
      <c r="P223" s="196"/>
    </row>
    <row r="224" spans="1:16" x14ac:dyDescent="0.2">
      <c r="A224" s="8">
        <f t="shared" si="19"/>
        <v>218</v>
      </c>
      <c r="B224" s="1079">
        <f>'Membership Record'!B228</f>
        <v>0</v>
      </c>
      <c r="C224" s="1079"/>
      <c r="D224" s="191">
        <f>IF('Membership Record'!N228="",'Membership Record'!E228,'Membership Record'!N228)</f>
        <v>0</v>
      </c>
      <c r="E224" s="186" t="str">
        <f t="shared" si="15"/>
        <v/>
      </c>
      <c r="F224" s="39"/>
      <c r="G224" s="197"/>
      <c r="H224" s="193">
        <f t="shared" si="16"/>
        <v>1</v>
      </c>
      <c r="I224" s="193"/>
      <c r="K224" s="186" t="str">
        <f t="shared" si="17"/>
        <v/>
      </c>
      <c r="L224" s="39"/>
      <c r="M224" s="197"/>
      <c r="N224" s="193">
        <f t="shared" si="18"/>
        <v>1</v>
      </c>
      <c r="O224" s="44"/>
      <c r="P224" s="196"/>
    </row>
    <row r="225" spans="1:16" x14ac:dyDescent="0.2">
      <c r="A225" s="8">
        <f t="shared" si="19"/>
        <v>219</v>
      </c>
      <c r="B225" s="1079">
        <f>'Membership Record'!B229</f>
        <v>0</v>
      </c>
      <c r="C225" s="1079"/>
      <c r="D225" s="191">
        <f>IF('Membership Record'!N229="",'Membership Record'!E229,'Membership Record'!N229)</f>
        <v>0</v>
      </c>
      <c r="E225" s="186" t="str">
        <f t="shared" si="15"/>
        <v/>
      </c>
      <c r="F225" s="39"/>
      <c r="G225" s="197"/>
      <c r="H225" s="193">
        <f t="shared" si="16"/>
        <v>1</v>
      </c>
      <c r="I225" s="193"/>
      <c r="K225" s="186" t="str">
        <f t="shared" si="17"/>
        <v/>
      </c>
      <c r="L225" s="39"/>
      <c r="M225" s="197"/>
      <c r="N225" s="193">
        <f t="shared" si="18"/>
        <v>1</v>
      </c>
      <c r="O225" s="44"/>
      <c r="P225" s="196"/>
    </row>
    <row r="226" spans="1:16" x14ac:dyDescent="0.2">
      <c r="A226" s="8">
        <f t="shared" si="19"/>
        <v>220</v>
      </c>
      <c r="B226" s="1079">
        <f>'Membership Record'!B230</f>
        <v>0</v>
      </c>
      <c r="C226" s="1079"/>
      <c r="D226" s="191">
        <f>IF('Membership Record'!N230="",'Membership Record'!E230,'Membership Record'!N230)</f>
        <v>0</v>
      </c>
      <c r="E226" s="186" t="str">
        <f t="shared" si="15"/>
        <v/>
      </c>
      <c r="F226" s="39"/>
      <c r="G226" s="197"/>
      <c r="H226" s="193">
        <f t="shared" si="16"/>
        <v>1</v>
      </c>
      <c r="I226" s="193"/>
      <c r="K226" s="186" t="str">
        <f t="shared" si="17"/>
        <v/>
      </c>
      <c r="L226" s="39"/>
      <c r="M226" s="197"/>
      <c r="N226" s="193">
        <f t="shared" si="18"/>
        <v>1</v>
      </c>
      <c r="O226" s="44"/>
      <c r="P226" s="196"/>
    </row>
    <row r="227" spans="1:16" x14ac:dyDescent="0.2">
      <c r="A227" s="8">
        <f t="shared" si="19"/>
        <v>221</v>
      </c>
      <c r="B227" s="1079">
        <f>'Membership Record'!B231</f>
        <v>0</v>
      </c>
      <c r="C227" s="1079"/>
      <c r="D227" s="191">
        <f>IF('Membership Record'!N231="",'Membership Record'!E231,'Membership Record'!N231)</f>
        <v>0</v>
      </c>
      <c r="E227" s="186" t="str">
        <f t="shared" si="15"/>
        <v/>
      </c>
      <c r="F227" s="39"/>
      <c r="G227" s="197"/>
      <c r="H227" s="193">
        <f t="shared" si="16"/>
        <v>1</v>
      </c>
      <c r="I227" s="193"/>
      <c r="K227" s="186" t="str">
        <f t="shared" si="17"/>
        <v/>
      </c>
      <c r="L227" s="39"/>
      <c r="M227" s="197"/>
      <c r="N227" s="193">
        <f t="shared" si="18"/>
        <v>1</v>
      </c>
      <c r="O227" s="44"/>
      <c r="P227" s="196"/>
    </row>
    <row r="228" spans="1:16" x14ac:dyDescent="0.2">
      <c r="A228" s="8">
        <f t="shared" si="19"/>
        <v>222</v>
      </c>
      <c r="B228" s="1079">
        <f>'Membership Record'!B232</f>
        <v>0</v>
      </c>
      <c r="C228" s="1079"/>
      <c r="D228" s="191">
        <f>IF('Membership Record'!N232="",'Membership Record'!E232,'Membership Record'!N232)</f>
        <v>0</v>
      </c>
      <c r="E228" s="186" t="str">
        <f t="shared" si="15"/>
        <v/>
      </c>
      <c r="F228" s="39"/>
      <c r="G228" s="197"/>
      <c r="H228" s="193">
        <f t="shared" si="16"/>
        <v>1</v>
      </c>
      <c r="I228" s="193"/>
      <c r="K228" s="186" t="str">
        <f t="shared" si="17"/>
        <v/>
      </c>
      <c r="L228" s="39"/>
      <c r="M228" s="197"/>
      <c r="N228" s="193">
        <f t="shared" si="18"/>
        <v>1</v>
      </c>
      <c r="O228" s="44"/>
      <c r="P228" s="196"/>
    </row>
    <row r="229" spans="1:16" x14ac:dyDescent="0.2">
      <c r="A229" s="8">
        <f t="shared" si="19"/>
        <v>223</v>
      </c>
      <c r="B229" s="1079">
        <f>'Membership Record'!B233</f>
        <v>0</v>
      </c>
      <c r="C229" s="1079"/>
      <c r="D229" s="191">
        <f>IF('Membership Record'!N233="",'Membership Record'!E233,'Membership Record'!N233)</f>
        <v>0</v>
      </c>
      <c r="E229" s="186" t="str">
        <f t="shared" si="15"/>
        <v/>
      </c>
      <c r="F229" s="39"/>
      <c r="G229" s="197"/>
      <c r="H229" s="193">
        <f t="shared" si="16"/>
        <v>1</v>
      </c>
      <c r="I229" s="193"/>
      <c r="K229" s="186" t="str">
        <f t="shared" si="17"/>
        <v/>
      </c>
      <c r="L229" s="39"/>
      <c r="M229" s="197"/>
      <c r="N229" s="193">
        <f t="shared" si="18"/>
        <v>1</v>
      </c>
      <c r="O229" s="44"/>
      <c r="P229" s="196"/>
    </row>
    <row r="230" spans="1:16" x14ac:dyDescent="0.2">
      <c r="A230" s="8">
        <f t="shared" si="19"/>
        <v>224</v>
      </c>
      <c r="B230" s="1079">
        <f>'Membership Record'!B234</f>
        <v>0</v>
      </c>
      <c r="C230" s="1079"/>
      <c r="D230" s="191">
        <f>IF('Membership Record'!N234="",'Membership Record'!E234,'Membership Record'!N234)</f>
        <v>0</v>
      </c>
      <c r="E230" s="186" t="str">
        <f t="shared" si="15"/>
        <v/>
      </c>
      <c r="F230" s="39"/>
      <c r="G230" s="197"/>
      <c r="H230" s="193">
        <f t="shared" si="16"/>
        <v>1</v>
      </c>
      <c r="I230" s="193"/>
      <c r="K230" s="186" t="str">
        <f t="shared" si="17"/>
        <v/>
      </c>
      <c r="L230" s="39"/>
      <c r="M230" s="197"/>
      <c r="N230" s="193">
        <f t="shared" si="18"/>
        <v>1</v>
      </c>
      <c r="O230" s="44"/>
      <c r="P230" s="196"/>
    </row>
    <row r="231" spans="1:16" x14ac:dyDescent="0.2">
      <c r="A231" s="8">
        <f t="shared" si="19"/>
        <v>225</v>
      </c>
      <c r="B231" s="1079">
        <f>'Membership Record'!B235</f>
        <v>0</v>
      </c>
      <c r="C231" s="1079"/>
      <c r="D231" s="191">
        <f>IF('Membership Record'!N235="",'Membership Record'!E235,'Membership Record'!N235)</f>
        <v>0</v>
      </c>
      <c r="E231" s="186" t="str">
        <f t="shared" si="15"/>
        <v/>
      </c>
      <c r="F231" s="39"/>
      <c r="G231" s="197"/>
      <c r="H231" s="193">
        <f t="shared" si="16"/>
        <v>1</v>
      </c>
      <c r="I231" s="193"/>
      <c r="K231" s="186" t="str">
        <f t="shared" si="17"/>
        <v/>
      </c>
      <c r="L231" s="39"/>
      <c r="M231" s="197"/>
      <c r="N231" s="193">
        <f t="shared" si="18"/>
        <v>1</v>
      </c>
      <c r="O231" s="44"/>
      <c r="P231" s="196"/>
    </row>
    <row r="232" spans="1:16" x14ac:dyDescent="0.2">
      <c r="A232" s="8">
        <f t="shared" si="19"/>
        <v>226</v>
      </c>
      <c r="B232" s="1079">
        <f>'Membership Record'!B236</f>
        <v>0</v>
      </c>
      <c r="C232" s="1079"/>
      <c r="D232" s="191">
        <f>IF('Membership Record'!N236="",'Membership Record'!E236,'Membership Record'!N236)</f>
        <v>0</v>
      </c>
      <c r="E232" s="186" t="str">
        <f t="shared" si="15"/>
        <v/>
      </c>
      <c r="F232" s="39"/>
      <c r="G232" s="197"/>
      <c r="H232" s="193">
        <f t="shared" si="16"/>
        <v>1</v>
      </c>
      <c r="I232" s="193"/>
      <c r="K232" s="186" t="str">
        <f t="shared" si="17"/>
        <v/>
      </c>
      <c r="L232" s="39"/>
      <c r="M232" s="197"/>
      <c r="N232" s="193">
        <f t="shared" si="18"/>
        <v>1</v>
      </c>
      <c r="O232" s="44"/>
      <c r="P232" s="196"/>
    </row>
    <row r="233" spans="1:16" x14ac:dyDescent="0.2">
      <c r="A233" s="8">
        <f t="shared" si="19"/>
        <v>227</v>
      </c>
      <c r="B233" s="1079">
        <f>'Membership Record'!B237</f>
        <v>0</v>
      </c>
      <c r="C233" s="1079"/>
      <c r="D233" s="191">
        <f>IF('Membership Record'!N237="",'Membership Record'!E237,'Membership Record'!N237)</f>
        <v>0</v>
      </c>
      <c r="E233" s="186" t="str">
        <f t="shared" si="15"/>
        <v/>
      </c>
      <c r="F233" s="39"/>
      <c r="G233" s="197"/>
      <c r="H233" s="193">
        <f t="shared" si="16"/>
        <v>1</v>
      </c>
      <c r="I233" s="193"/>
      <c r="K233" s="186" t="str">
        <f t="shared" si="17"/>
        <v/>
      </c>
      <c r="L233" s="39"/>
      <c r="M233" s="197"/>
      <c r="N233" s="193">
        <f t="shared" si="18"/>
        <v>1</v>
      </c>
      <c r="O233" s="44"/>
      <c r="P233" s="196"/>
    </row>
    <row r="234" spans="1:16" x14ac:dyDescent="0.2">
      <c r="A234" s="8">
        <f t="shared" si="19"/>
        <v>228</v>
      </c>
      <c r="B234" s="1079">
        <f>'Membership Record'!B238</f>
        <v>0</v>
      </c>
      <c r="C234" s="1079"/>
      <c r="D234" s="191">
        <f>IF('Membership Record'!N238="",'Membership Record'!E238,'Membership Record'!N238)</f>
        <v>0</v>
      </c>
      <c r="E234" s="186" t="str">
        <f t="shared" si="15"/>
        <v/>
      </c>
      <c r="F234" s="39"/>
      <c r="G234" s="197"/>
      <c r="H234" s="193">
        <f t="shared" si="16"/>
        <v>1</v>
      </c>
      <c r="I234" s="193"/>
      <c r="K234" s="186" t="str">
        <f t="shared" si="17"/>
        <v/>
      </c>
      <c r="L234" s="39"/>
      <c r="M234" s="197"/>
      <c r="N234" s="193">
        <f t="shared" si="18"/>
        <v>1</v>
      </c>
      <c r="O234" s="44"/>
      <c r="P234" s="196"/>
    </row>
    <row r="235" spans="1:16" x14ac:dyDescent="0.2">
      <c r="A235" s="8">
        <f t="shared" si="19"/>
        <v>229</v>
      </c>
      <c r="B235" s="1079">
        <f>'Membership Record'!B239</f>
        <v>0</v>
      </c>
      <c r="C235" s="1079"/>
      <c r="D235" s="191">
        <f>IF('Membership Record'!N239="",'Membership Record'!E239,'Membership Record'!N239)</f>
        <v>0</v>
      </c>
      <c r="E235" s="186" t="str">
        <f t="shared" si="15"/>
        <v/>
      </c>
      <c r="F235" s="39"/>
      <c r="G235" s="197"/>
      <c r="H235" s="193">
        <f t="shared" si="16"/>
        <v>1</v>
      </c>
      <c r="I235" s="193"/>
      <c r="K235" s="186" t="str">
        <f t="shared" si="17"/>
        <v/>
      </c>
      <c r="L235" s="39"/>
      <c r="M235" s="197"/>
      <c r="N235" s="193">
        <f t="shared" si="18"/>
        <v>1</v>
      </c>
      <c r="O235" s="44"/>
      <c r="P235" s="196"/>
    </row>
    <row r="236" spans="1:16" x14ac:dyDescent="0.2">
      <c r="A236" s="8">
        <f t="shared" si="19"/>
        <v>230</v>
      </c>
      <c r="B236" s="1079">
        <f>'Membership Record'!B240</f>
        <v>0</v>
      </c>
      <c r="C236" s="1079"/>
      <c r="D236" s="191">
        <f>IF('Membership Record'!N240="",'Membership Record'!E240,'Membership Record'!N240)</f>
        <v>0</v>
      </c>
      <c r="E236" s="186" t="str">
        <f t="shared" si="15"/>
        <v/>
      </c>
      <c r="F236" s="39"/>
      <c r="G236" s="197"/>
      <c r="H236" s="193">
        <f t="shared" si="16"/>
        <v>1</v>
      </c>
      <c r="I236" s="193"/>
      <c r="K236" s="186" t="str">
        <f t="shared" si="17"/>
        <v/>
      </c>
      <c r="L236" s="39"/>
      <c r="M236" s="197"/>
      <c r="N236" s="193">
        <f t="shared" si="18"/>
        <v>1</v>
      </c>
      <c r="O236" s="44"/>
      <c r="P236" s="196"/>
    </row>
    <row r="237" spans="1:16" x14ac:dyDescent="0.2">
      <c r="A237" s="8">
        <f t="shared" si="19"/>
        <v>231</v>
      </c>
      <c r="B237" s="1079">
        <f>'Membership Record'!B241</f>
        <v>0</v>
      </c>
      <c r="C237" s="1079"/>
      <c r="D237" s="191">
        <f>IF('Membership Record'!N241="",'Membership Record'!E241,'Membership Record'!N241)</f>
        <v>0</v>
      </c>
      <c r="E237" s="186" t="str">
        <f t="shared" si="15"/>
        <v/>
      </c>
      <c r="F237" s="39"/>
      <c r="G237" s="197"/>
      <c r="H237" s="193">
        <f t="shared" si="16"/>
        <v>1</v>
      </c>
      <c r="I237" s="193"/>
      <c r="K237" s="186" t="str">
        <f t="shared" si="17"/>
        <v/>
      </c>
      <c r="L237" s="39"/>
      <c r="M237" s="197"/>
      <c r="N237" s="193">
        <f t="shared" si="18"/>
        <v>1</v>
      </c>
      <c r="O237" s="44"/>
      <c r="P237" s="196"/>
    </row>
    <row r="238" spans="1:16" x14ac:dyDescent="0.2">
      <c r="A238" s="8">
        <f t="shared" si="19"/>
        <v>232</v>
      </c>
      <c r="B238" s="1079">
        <f>'Membership Record'!B242</f>
        <v>0</v>
      </c>
      <c r="C238" s="1079"/>
      <c r="D238" s="191">
        <f>IF('Membership Record'!N242="",'Membership Record'!E242,'Membership Record'!N242)</f>
        <v>0</v>
      </c>
      <c r="E238" s="186" t="str">
        <f t="shared" si="15"/>
        <v/>
      </c>
      <c r="F238" s="39"/>
      <c r="G238" s="197"/>
      <c r="H238" s="193">
        <f t="shared" si="16"/>
        <v>1</v>
      </c>
      <c r="I238" s="193"/>
      <c r="K238" s="186" t="str">
        <f t="shared" si="17"/>
        <v/>
      </c>
      <c r="L238" s="39"/>
      <c r="M238" s="197"/>
      <c r="N238" s="193">
        <f t="shared" si="18"/>
        <v>1</v>
      </c>
      <c r="O238" s="44"/>
      <c r="P238" s="196"/>
    </row>
    <row r="239" spans="1:16" x14ac:dyDescent="0.2">
      <c r="A239" s="8">
        <f t="shared" si="19"/>
        <v>233</v>
      </c>
      <c r="B239" s="1079">
        <f>'Membership Record'!B243</f>
        <v>0</v>
      </c>
      <c r="C239" s="1079"/>
      <c r="D239" s="191">
        <f>IF('Membership Record'!N243="",'Membership Record'!E243,'Membership Record'!N243)</f>
        <v>0</v>
      </c>
      <c r="E239" s="186" t="str">
        <f t="shared" si="15"/>
        <v/>
      </c>
      <c r="F239" s="39"/>
      <c r="G239" s="197"/>
      <c r="H239" s="193">
        <f t="shared" si="16"/>
        <v>1</v>
      </c>
      <c r="I239" s="193"/>
      <c r="K239" s="186" t="str">
        <f t="shared" si="17"/>
        <v/>
      </c>
      <c r="L239" s="39"/>
      <c r="M239" s="197"/>
      <c r="N239" s="193">
        <f t="shared" si="18"/>
        <v>1</v>
      </c>
      <c r="O239" s="44"/>
      <c r="P239" s="196"/>
    </row>
    <row r="240" spans="1:16" x14ac:dyDescent="0.2">
      <c r="A240" s="8">
        <f t="shared" si="19"/>
        <v>234</v>
      </c>
      <c r="B240" s="1079">
        <f>'Membership Record'!B244</f>
        <v>0</v>
      </c>
      <c r="C240" s="1079"/>
      <c r="D240" s="191">
        <f>IF('Membership Record'!N244="",'Membership Record'!E244,'Membership Record'!N244)</f>
        <v>0</v>
      </c>
      <c r="E240" s="186" t="str">
        <f t="shared" si="15"/>
        <v/>
      </c>
      <c r="F240" s="39"/>
      <c r="G240" s="197"/>
      <c r="H240" s="193">
        <f t="shared" si="16"/>
        <v>1</v>
      </c>
      <c r="I240" s="193"/>
      <c r="K240" s="186" t="str">
        <f t="shared" si="17"/>
        <v/>
      </c>
      <c r="L240" s="39"/>
      <c r="M240" s="197"/>
      <c r="N240" s="193">
        <f t="shared" si="18"/>
        <v>1</v>
      </c>
      <c r="O240" s="44"/>
      <c r="P240" s="196"/>
    </row>
    <row r="241" spans="1:16" x14ac:dyDescent="0.2">
      <c r="A241" s="8">
        <f t="shared" si="19"/>
        <v>235</v>
      </c>
      <c r="B241" s="1079">
        <f>'Membership Record'!B245</f>
        <v>0</v>
      </c>
      <c r="C241" s="1079"/>
      <c r="D241" s="191">
        <f>IF('Membership Record'!N245="",'Membership Record'!E245,'Membership Record'!N245)</f>
        <v>0</v>
      </c>
      <c r="E241" s="186" t="str">
        <f t="shared" si="15"/>
        <v/>
      </c>
      <c r="F241" s="39"/>
      <c r="G241" s="197"/>
      <c r="H241" s="193">
        <f t="shared" si="16"/>
        <v>1</v>
      </c>
      <c r="I241" s="193"/>
      <c r="K241" s="186" t="str">
        <f t="shared" si="17"/>
        <v/>
      </c>
      <c r="L241" s="39"/>
      <c r="M241" s="197"/>
      <c r="N241" s="193">
        <f t="shared" si="18"/>
        <v>1</v>
      </c>
      <c r="O241" s="44"/>
      <c r="P241" s="196"/>
    </row>
    <row r="242" spans="1:16" x14ac:dyDescent="0.2">
      <c r="A242" s="8">
        <f t="shared" si="19"/>
        <v>236</v>
      </c>
      <c r="B242" s="1079">
        <f>'Membership Record'!B246</f>
        <v>0</v>
      </c>
      <c r="C242" s="1079"/>
      <c r="D242" s="191">
        <f>IF('Membership Record'!N246="",'Membership Record'!E246,'Membership Record'!N246)</f>
        <v>0</v>
      </c>
      <c r="E242" s="186" t="str">
        <f t="shared" si="15"/>
        <v/>
      </c>
      <c r="F242" s="39"/>
      <c r="G242" s="197"/>
      <c r="H242" s="193">
        <f t="shared" si="16"/>
        <v>1</v>
      </c>
      <c r="I242" s="193"/>
      <c r="K242" s="186" t="str">
        <f t="shared" si="17"/>
        <v/>
      </c>
      <c r="L242" s="39"/>
      <c r="M242" s="197"/>
      <c r="N242" s="193">
        <f t="shared" si="18"/>
        <v>1</v>
      </c>
      <c r="O242" s="44"/>
      <c r="P242" s="196"/>
    </row>
    <row r="243" spans="1:16" x14ac:dyDescent="0.2">
      <c r="A243" s="8">
        <f t="shared" si="19"/>
        <v>237</v>
      </c>
      <c r="B243" s="1079">
        <f>'Membership Record'!B247</f>
        <v>0</v>
      </c>
      <c r="C243" s="1079"/>
      <c r="D243" s="191">
        <f>IF('Membership Record'!N247="",'Membership Record'!E247,'Membership Record'!N247)</f>
        <v>0</v>
      </c>
      <c r="E243" s="186" t="str">
        <f t="shared" si="15"/>
        <v/>
      </c>
      <c r="F243" s="39"/>
      <c r="G243" s="197"/>
      <c r="H243" s="193">
        <f t="shared" si="16"/>
        <v>1</v>
      </c>
      <c r="I243" s="193"/>
      <c r="K243" s="186" t="str">
        <f t="shared" si="17"/>
        <v/>
      </c>
      <c r="L243" s="39"/>
      <c r="M243" s="197"/>
      <c r="N243" s="193">
        <f t="shared" si="18"/>
        <v>1</v>
      </c>
      <c r="O243" s="44"/>
      <c r="P243" s="196"/>
    </row>
    <row r="244" spans="1:16" x14ac:dyDescent="0.2">
      <c r="A244" s="8">
        <f t="shared" si="19"/>
        <v>238</v>
      </c>
      <c r="B244" s="1079">
        <f>'Membership Record'!B248</f>
        <v>0</v>
      </c>
      <c r="C244" s="1079"/>
      <c r="D244" s="191">
        <f>IF('Membership Record'!N248="",'Membership Record'!E248,'Membership Record'!N248)</f>
        <v>0</v>
      </c>
      <c r="E244" s="186" t="str">
        <f t="shared" si="15"/>
        <v/>
      </c>
      <c r="F244" s="39"/>
      <c r="G244" s="197"/>
      <c r="H244" s="193">
        <f t="shared" si="16"/>
        <v>1</v>
      </c>
      <c r="I244" s="193"/>
      <c r="K244" s="186" t="str">
        <f t="shared" si="17"/>
        <v/>
      </c>
      <c r="L244" s="39"/>
      <c r="M244" s="197"/>
      <c r="N244" s="193">
        <f t="shared" si="18"/>
        <v>1</v>
      </c>
      <c r="O244" s="44"/>
      <c r="P244" s="196"/>
    </row>
    <row r="245" spans="1:16" x14ac:dyDescent="0.2">
      <c r="A245" s="8">
        <f t="shared" si="19"/>
        <v>239</v>
      </c>
      <c r="B245" s="1079">
        <f>'Membership Record'!B249</f>
        <v>0</v>
      </c>
      <c r="C245" s="1079"/>
      <c r="D245" s="191">
        <f>IF('Membership Record'!N249="",'Membership Record'!E249,'Membership Record'!N249)</f>
        <v>0</v>
      </c>
      <c r="E245" s="186" t="str">
        <f t="shared" si="15"/>
        <v/>
      </c>
      <c r="F245" s="39"/>
      <c r="G245" s="197"/>
      <c r="H245" s="193">
        <f t="shared" si="16"/>
        <v>1</v>
      </c>
      <c r="I245" s="193"/>
      <c r="K245" s="186" t="str">
        <f t="shared" si="17"/>
        <v/>
      </c>
      <c r="L245" s="39"/>
      <c r="M245" s="197"/>
      <c r="N245" s="193">
        <f t="shared" si="18"/>
        <v>1</v>
      </c>
      <c r="O245" s="44"/>
      <c r="P245" s="196"/>
    </row>
    <row r="246" spans="1:16" x14ac:dyDescent="0.2">
      <c r="A246" s="8">
        <f t="shared" si="19"/>
        <v>240</v>
      </c>
      <c r="B246" s="1079">
        <f>'Membership Record'!B250</f>
        <v>0</v>
      </c>
      <c r="C246" s="1079"/>
      <c r="D246" s="191">
        <f>IF('Membership Record'!N250="",'Membership Record'!E250,'Membership Record'!N250)</f>
        <v>0</v>
      </c>
      <c r="E246" s="186" t="str">
        <f t="shared" si="15"/>
        <v/>
      </c>
      <c r="F246" s="39"/>
      <c r="G246" s="197"/>
      <c r="H246" s="193">
        <f t="shared" si="16"/>
        <v>1</v>
      </c>
      <c r="I246" s="193"/>
      <c r="K246" s="186" t="str">
        <f t="shared" si="17"/>
        <v/>
      </c>
      <c r="L246" s="39"/>
      <c r="M246" s="197"/>
      <c r="N246" s="193">
        <f t="shared" si="18"/>
        <v>1</v>
      </c>
      <c r="O246" s="44"/>
      <c r="P246" s="196"/>
    </row>
    <row r="247" spans="1:16" x14ac:dyDescent="0.2">
      <c r="A247" s="8">
        <f t="shared" si="19"/>
        <v>241</v>
      </c>
      <c r="B247" s="1079">
        <f>'Membership Record'!B251</f>
        <v>0</v>
      </c>
      <c r="C247" s="1079"/>
      <c r="D247" s="191">
        <f>IF('Membership Record'!N251="",'Membership Record'!E251,'Membership Record'!N251)</f>
        <v>0</v>
      </c>
      <c r="E247" s="186" t="str">
        <f t="shared" si="15"/>
        <v/>
      </c>
      <c r="F247" s="39"/>
      <c r="G247" s="197"/>
      <c r="H247" s="193">
        <f t="shared" si="16"/>
        <v>1</v>
      </c>
      <c r="I247" s="193"/>
      <c r="K247" s="186" t="str">
        <f t="shared" si="17"/>
        <v/>
      </c>
      <c r="L247" s="39"/>
      <c r="M247" s="197"/>
      <c r="N247" s="193">
        <f t="shared" si="18"/>
        <v>1</v>
      </c>
      <c r="O247" s="44"/>
      <c r="P247" s="196"/>
    </row>
    <row r="248" spans="1:16" x14ac:dyDescent="0.2">
      <c r="A248" s="8">
        <f t="shared" si="19"/>
        <v>242</v>
      </c>
      <c r="B248" s="1079">
        <f>'Membership Record'!B252</f>
        <v>0</v>
      </c>
      <c r="C248" s="1079"/>
      <c r="D248" s="191">
        <f>IF('Membership Record'!N252="",'Membership Record'!E252,'Membership Record'!N252)</f>
        <v>0</v>
      </c>
      <c r="E248" s="186" t="str">
        <f t="shared" si="15"/>
        <v/>
      </c>
      <c r="F248" s="39"/>
      <c r="G248" s="197"/>
      <c r="H248" s="193">
        <f t="shared" si="16"/>
        <v>1</v>
      </c>
      <c r="I248" s="193"/>
      <c r="K248" s="186" t="str">
        <f t="shared" si="17"/>
        <v/>
      </c>
      <c r="L248" s="39"/>
      <c r="M248" s="197"/>
      <c r="N248" s="193">
        <f t="shared" si="18"/>
        <v>1</v>
      </c>
      <c r="O248" s="44"/>
      <c r="P248" s="196"/>
    </row>
    <row r="249" spans="1:16" x14ac:dyDescent="0.2">
      <c r="A249" s="8">
        <f t="shared" si="19"/>
        <v>243</v>
      </c>
      <c r="B249" s="1079">
        <f>'Membership Record'!B253</f>
        <v>0</v>
      </c>
      <c r="C249" s="1079"/>
      <c r="D249" s="191">
        <f>IF('Membership Record'!N253="",'Membership Record'!E253,'Membership Record'!N253)</f>
        <v>0</v>
      </c>
      <c r="E249" s="186" t="str">
        <f t="shared" si="15"/>
        <v/>
      </c>
      <c r="F249" s="39"/>
      <c r="G249" s="197"/>
      <c r="H249" s="193">
        <f t="shared" si="16"/>
        <v>1</v>
      </c>
      <c r="I249" s="193"/>
      <c r="K249" s="186" t="str">
        <f t="shared" si="17"/>
        <v/>
      </c>
      <c r="L249" s="39"/>
      <c r="M249" s="197"/>
      <c r="N249" s="193">
        <f t="shared" si="18"/>
        <v>1</v>
      </c>
      <c r="O249" s="44"/>
      <c r="P249" s="196"/>
    </row>
    <row r="250" spans="1:16" x14ac:dyDescent="0.2">
      <c r="A250" s="8">
        <f t="shared" si="19"/>
        <v>244</v>
      </c>
      <c r="B250" s="1079">
        <f>'Membership Record'!B254</f>
        <v>0</v>
      </c>
      <c r="C250" s="1079"/>
      <c r="D250" s="191">
        <f>IF('Membership Record'!N254="",'Membership Record'!E254,'Membership Record'!N254)</f>
        <v>0</v>
      </c>
      <c r="E250" s="186" t="str">
        <f t="shared" si="15"/>
        <v/>
      </c>
      <c r="F250" s="39"/>
      <c r="G250" s="197"/>
      <c r="H250" s="193">
        <f t="shared" si="16"/>
        <v>1</v>
      </c>
      <c r="I250" s="193"/>
      <c r="K250" s="186" t="str">
        <f t="shared" si="17"/>
        <v/>
      </c>
      <c r="L250" s="39"/>
      <c r="M250" s="197"/>
      <c r="N250" s="193">
        <f t="shared" si="18"/>
        <v>1</v>
      </c>
      <c r="O250" s="44"/>
      <c r="P250" s="196"/>
    </row>
    <row r="251" spans="1:16" x14ac:dyDescent="0.2">
      <c r="A251" s="8">
        <f t="shared" si="19"/>
        <v>245</v>
      </c>
      <c r="B251" s="1079">
        <f>'Membership Record'!B255</f>
        <v>0</v>
      </c>
      <c r="C251" s="1079"/>
      <c r="D251" s="191">
        <f>IF('Membership Record'!N255="",'Membership Record'!E255,'Membership Record'!N255)</f>
        <v>0</v>
      </c>
      <c r="E251" s="186" t="str">
        <f t="shared" si="15"/>
        <v/>
      </c>
      <c r="F251" s="39"/>
      <c r="G251" s="197"/>
      <c r="H251" s="193">
        <f t="shared" si="16"/>
        <v>1</v>
      </c>
      <c r="I251" s="193"/>
      <c r="K251" s="186" t="str">
        <f t="shared" si="17"/>
        <v/>
      </c>
      <c r="L251" s="39"/>
      <c r="M251" s="197"/>
      <c r="N251" s="193">
        <f t="shared" si="18"/>
        <v>1</v>
      </c>
      <c r="O251" s="44"/>
      <c r="P251" s="196"/>
    </row>
    <row r="252" spans="1:16" x14ac:dyDescent="0.2">
      <c r="A252" s="8">
        <f t="shared" si="19"/>
        <v>246</v>
      </c>
      <c r="B252" s="1079">
        <f>'Membership Record'!B256</f>
        <v>0</v>
      </c>
      <c r="C252" s="1079"/>
      <c r="D252" s="191">
        <f>IF('Membership Record'!N256="",'Membership Record'!E256,'Membership Record'!N256)</f>
        <v>0</v>
      </c>
      <c r="E252" s="186" t="str">
        <f t="shared" si="15"/>
        <v/>
      </c>
      <c r="F252" s="39"/>
      <c r="G252" s="197"/>
      <c r="H252" s="193">
        <f t="shared" si="16"/>
        <v>1</v>
      </c>
      <c r="I252" s="193"/>
      <c r="K252" s="186" t="str">
        <f t="shared" si="17"/>
        <v/>
      </c>
      <c r="L252" s="39"/>
      <c r="M252" s="197"/>
      <c r="N252" s="193">
        <f t="shared" si="18"/>
        <v>1</v>
      </c>
      <c r="O252" s="44"/>
      <c r="P252" s="196"/>
    </row>
    <row r="253" spans="1:16" x14ac:dyDescent="0.2">
      <c r="A253" s="8">
        <f t="shared" si="19"/>
        <v>247</v>
      </c>
      <c r="B253" s="1079">
        <f>'Membership Record'!B257</f>
        <v>0</v>
      </c>
      <c r="C253" s="1079"/>
      <c r="D253" s="191">
        <f>IF('Membership Record'!N257="",'Membership Record'!E257,'Membership Record'!N257)</f>
        <v>0</v>
      </c>
      <c r="E253" s="186" t="str">
        <f t="shared" si="15"/>
        <v/>
      </c>
      <c r="F253" s="39"/>
      <c r="G253" s="197"/>
      <c r="H253" s="193">
        <f t="shared" si="16"/>
        <v>1</v>
      </c>
      <c r="I253" s="193"/>
      <c r="K253" s="186" t="str">
        <f t="shared" si="17"/>
        <v/>
      </c>
      <c r="L253" s="39"/>
      <c r="M253" s="197"/>
      <c r="N253" s="193">
        <f t="shared" si="18"/>
        <v>1</v>
      </c>
      <c r="O253" s="44"/>
      <c r="P253" s="196"/>
    </row>
    <row r="254" spans="1:16" x14ac:dyDescent="0.2">
      <c r="A254" s="8">
        <f t="shared" si="19"/>
        <v>248</v>
      </c>
      <c r="B254" s="1079">
        <f>'Membership Record'!B258</f>
        <v>0</v>
      </c>
      <c r="C254" s="1079"/>
      <c r="D254" s="191">
        <f>IF('Membership Record'!N258="",'Membership Record'!E258,'Membership Record'!N258)</f>
        <v>0</v>
      </c>
      <c r="E254" s="186" t="str">
        <f t="shared" si="15"/>
        <v/>
      </c>
      <c r="F254" s="39"/>
      <c r="G254" s="197"/>
      <c r="H254" s="193">
        <f t="shared" si="16"/>
        <v>1</v>
      </c>
      <c r="I254" s="193"/>
      <c r="K254" s="186" t="str">
        <f t="shared" si="17"/>
        <v/>
      </c>
      <c r="L254" s="39"/>
      <c r="M254" s="197"/>
      <c r="N254" s="193">
        <f t="shared" si="18"/>
        <v>1</v>
      </c>
      <c r="O254" s="44"/>
      <c r="P254" s="196"/>
    </row>
    <row r="255" spans="1:16" x14ac:dyDescent="0.2">
      <c r="A255" s="8">
        <f t="shared" si="19"/>
        <v>249</v>
      </c>
      <c r="B255" s="1079">
        <f>'Membership Record'!B259</f>
        <v>0</v>
      </c>
      <c r="C255" s="1079"/>
      <c r="D255" s="191">
        <f>IF('Membership Record'!N259="",'Membership Record'!E259,'Membership Record'!N259)</f>
        <v>0</v>
      </c>
      <c r="E255" s="186" t="str">
        <f t="shared" si="15"/>
        <v/>
      </c>
      <c r="F255" s="39"/>
      <c r="G255" s="197"/>
      <c r="H255" s="193">
        <f t="shared" si="16"/>
        <v>1</v>
      </c>
      <c r="I255" s="193"/>
      <c r="K255" s="186" t="str">
        <f t="shared" si="17"/>
        <v/>
      </c>
      <c r="L255" s="39"/>
      <c r="M255" s="197"/>
      <c r="N255" s="193">
        <f t="shared" si="18"/>
        <v>1</v>
      </c>
      <c r="O255" s="44"/>
      <c r="P255" s="196"/>
    </row>
    <row r="256" spans="1:16" x14ac:dyDescent="0.2">
      <c r="A256" s="8">
        <f t="shared" si="19"/>
        <v>250</v>
      </c>
      <c r="B256" s="1079">
        <f>'Membership Record'!B260</f>
        <v>0</v>
      </c>
      <c r="C256" s="1079"/>
      <c r="D256" s="191">
        <f>IF('Membership Record'!N260="",'Membership Record'!E260,'Membership Record'!N260)</f>
        <v>0</v>
      </c>
      <c r="E256" s="186" t="str">
        <f t="shared" si="15"/>
        <v/>
      </c>
      <c r="F256" s="39"/>
      <c r="G256" s="197"/>
      <c r="H256" s="193">
        <f t="shared" si="16"/>
        <v>1</v>
      </c>
      <c r="I256" s="193"/>
      <c r="K256" s="186" t="str">
        <f t="shared" si="17"/>
        <v/>
      </c>
      <c r="L256" s="39"/>
      <c r="M256" s="197"/>
      <c r="N256" s="193">
        <f t="shared" si="18"/>
        <v>1</v>
      </c>
      <c r="O256" s="44"/>
      <c r="P256" s="196"/>
    </row>
    <row r="257" spans="1:16" x14ac:dyDescent="0.2">
      <c r="A257" s="8">
        <f t="shared" si="19"/>
        <v>251</v>
      </c>
      <c r="B257" s="1079">
        <f>'Membership Record'!B261</f>
        <v>0</v>
      </c>
      <c r="C257" s="1079"/>
      <c r="D257" s="191">
        <f>IF('Membership Record'!N261="",'Membership Record'!E261,'Membership Record'!N261)</f>
        <v>0</v>
      </c>
      <c r="E257" s="186" t="str">
        <f t="shared" si="15"/>
        <v/>
      </c>
      <c r="F257" s="39"/>
      <c r="G257" s="197"/>
      <c r="H257" s="193">
        <f t="shared" si="16"/>
        <v>1</v>
      </c>
      <c r="I257" s="193"/>
      <c r="K257" s="186" t="str">
        <f t="shared" si="17"/>
        <v/>
      </c>
      <c r="L257" s="39"/>
      <c r="M257" s="197"/>
      <c r="N257" s="193">
        <f t="shared" si="18"/>
        <v>1</v>
      </c>
      <c r="O257" s="44"/>
      <c r="P257" s="196"/>
    </row>
    <row r="258" spans="1:16" x14ac:dyDescent="0.2">
      <c r="A258" s="8">
        <f t="shared" si="19"/>
        <v>252</v>
      </c>
      <c r="B258" s="1079">
        <f>'Membership Record'!B262</f>
        <v>0</v>
      </c>
      <c r="C258" s="1079"/>
      <c r="D258" s="191">
        <f>IF('Membership Record'!N262="",'Membership Record'!E262,'Membership Record'!N262)</f>
        <v>0</v>
      </c>
      <c r="E258" s="186" t="str">
        <f t="shared" si="15"/>
        <v/>
      </c>
      <c r="F258" s="39"/>
      <c r="G258" s="197"/>
      <c r="H258" s="193">
        <f t="shared" si="16"/>
        <v>1</v>
      </c>
      <c r="I258" s="193"/>
      <c r="K258" s="186" t="str">
        <f t="shared" si="17"/>
        <v/>
      </c>
      <c r="L258" s="39"/>
      <c r="M258" s="197"/>
      <c r="N258" s="193">
        <f t="shared" si="18"/>
        <v>1</v>
      </c>
      <c r="O258" s="44"/>
      <c r="P258" s="196"/>
    </row>
    <row r="259" spans="1:16" x14ac:dyDescent="0.2">
      <c r="A259" s="8">
        <f t="shared" si="19"/>
        <v>253</v>
      </c>
      <c r="B259" s="1079">
        <f>'Membership Record'!B263</f>
        <v>0</v>
      </c>
      <c r="C259" s="1079"/>
      <c r="D259" s="191">
        <f>IF('Membership Record'!N263="",'Membership Record'!E263,'Membership Record'!N263)</f>
        <v>0</v>
      </c>
      <c r="E259" s="186" t="str">
        <f t="shared" si="15"/>
        <v/>
      </c>
      <c r="F259" s="39"/>
      <c r="G259" s="197"/>
      <c r="H259" s="193">
        <f t="shared" si="16"/>
        <v>1</v>
      </c>
      <c r="I259" s="193"/>
      <c r="K259" s="186" t="str">
        <f t="shared" si="17"/>
        <v/>
      </c>
      <c r="L259" s="39"/>
      <c r="M259" s="197"/>
      <c r="N259" s="193">
        <f t="shared" si="18"/>
        <v>1</v>
      </c>
      <c r="O259" s="44"/>
      <c r="P259" s="196"/>
    </row>
    <row r="260" spans="1:16" x14ac:dyDescent="0.2">
      <c r="A260" s="8">
        <f t="shared" si="19"/>
        <v>254</v>
      </c>
      <c r="B260" s="1079">
        <f>'Membership Record'!B264</f>
        <v>0</v>
      </c>
      <c r="C260" s="1079"/>
      <c r="D260" s="191">
        <f>IF('Membership Record'!N264="",'Membership Record'!E264,'Membership Record'!N264)</f>
        <v>0</v>
      </c>
      <c r="E260" s="186" t="str">
        <f t="shared" si="15"/>
        <v/>
      </c>
      <c r="F260" s="39"/>
      <c r="G260" s="197"/>
      <c r="H260" s="193">
        <f t="shared" si="16"/>
        <v>1</v>
      </c>
      <c r="I260" s="193"/>
      <c r="K260" s="186" t="str">
        <f t="shared" si="17"/>
        <v/>
      </c>
      <c r="L260" s="39"/>
      <c r="M260" s="197"/>
      <c r="N260" s="193">
        <f t="shared" si="18"/>
        <v>1</v>
      </c>
      <c r="O260" s="44"/>
      <c r="P260" s="196"/>
    </row>
    <row r="261" spans="1:16" x14ac:dyDescent="0.2">
      <c r="A261" s="8">
        <f t="shared" si="19"/>
        <v>255</v>
      </c>
      <c r="B261" s="1079">
        <f>'Membership Record'!B265</f>
        <v>0</v>
      </c>
      <c r="C261" s="1079"/>
      <c r="D261" s="191">
        <f>IF('Membership Record'!N265="",'Membership Record'!E265,'Membership Record'!N265)</f>
        <v>0</v>
      </c>
      <c r="E261" s="186" t="str">
        <f t="shared" si="15"/>
        <v/>
      </c>
      <c r="F261" s="39"/>
      <c r="G261" s="197"/>
      <c r="H261" s="193">
        <f t="shared" si="16"/>
        <v>1</v>
      </c>
      <c r="I261" s="193"/>
      <c r="K261" s="186" t="str">
        <f t="shared" si="17"/>
        <v/>
      </c>
      <c r="L261" s="39"/>
      <c r="M261" s="197"/>
      <c r="N261" s="193">
        <f t="shared" si="18"/>
        <v>1</v>
      </c>
      <c r="O261" s="44"/>
      <c r="P261" s="196"/>
    </row>
    <row r="262" spans="1:16" x14ac:dyDescent="0.2">
      <c r="A262" s="8">
        <f t="shared" si="19"/>
        <v>256</v>
      </c>
      <c r="B262" s="1079">
        <f>'Membership Record'!B266</f>
        <v>0</v>
      </c>
      <c r="C262" s="1079"/>
      <c r="D262" s="191">
        <f>IF('Membership Record'!N266="",'Membership Record'!E266,'Membership Record'!N266)</f>
        <v>0</v>
      </c>
      <c r="E262" s="186" t="str">
        <f t="shared" si="15"/>
        <v/>
      </c>
      <c r="F262" s="39"/>
      <c r="G262" s="197"/>
      <c r="H262" s="193">
        <f t="shared" si="16"/>
        <v>1</v>
      </c>
      <c r="I262" s="193"/>
      <c r="K262" s="186" t="str">
        <f t="shared" si="17"/>
        <v/>
      </c>
      <c r="L262" s="39"/>
      <c r="M262" s="197"/>
      <c r="N262" s="193">
        <f t="shared" si="18"/>
        <v>1</v>
      </c>
      <c r="O262" s="44"/>
      <c r="P262" s="196"/>
    </row>
    <row r="263" spans="1:16" x14ac:dyDescent="0.2">
      <c r="A263" s="8">
        <f t="shared" si="19"/>
        <v>257</v>
      </c>
      <c r="B263" s="1079">
        <f>'Membership Record'!B267</f>
        <v>0</v>
      </c>
      <c r="C263" s="1079"/>
      <c r="D263" s="191">
        <f>IF('Membership Record'!N267="",'Membership Record'!E267,'Membership Record'!N267)</f>
        <v>0</v>
      </c>
      <c r="E263" s="186" t="str">
        <f t="shared" si="15"/>
        <v/>
      </c>
      <c r="F263" s="39"/>
      <c r="G263" s="197"/>
      <c r="H263" s="193">
        <f t="shared" si="16"/>
        <v>1</v>
      </c>
      <c r="I263" s="193"/>
      <c r="K263" s="186" t="str">
        <f t="shared" si="17"/>
        <v/>
      </c>
      <c r="L263" s="39"/>
      <c r="M263" s="197"/>
      <c r="N263" s="193">
        <f t="shared" si="18"/>
        <v>1</v>
      </c>
      <c r="O263" s="44"/>
      <c r="P263" s="196"/>
    </row>
    <row r="264" spans="1:16" x14ac:dyDescent="0.2">
      <c r="A264" s="8">
        <f t="shared" si="19"/>
        <v>258</v>
      </c>
      <c r="B264" s="1079">
        <f>'Membership Record'!B268</f>
        <v>0</v>
      </c>
      <c r="C264" s="1079"/>
      <c r="D264" s="191">
        <f>IF('Membership Record'!N268="",'Membership Record'!E268,'Membership Record'!N268)</f>
        <v>0</v>
      </c>
      <c r="E264" s="186" t="str">
        <f t="shared" ref="E264:E306" si="20">IF(D264="Candidate",100,IF(F264="No",100,""))</f>
        <v/>
      </c>
      <c r="F264" s="39"/>
      <c r="G264" s="197"/>
      <c r="H264" s="193">
        <f t="shared" ref="H264:H306" si="21">MONTH(G264)</f>
        <v>1</v>
      </c>
      <c r="I264" s="193"/>
      <c r="K264" s="186" t="str">
        <f t="shared" ref="K264:K306" si="22">IF(D264="Candidate",230,IF(L264="No",230,""))</f>
        <v/>
      </c>
      <c r="L264" s="39"/>
      <c r="M264" s="197"/>
      <c r="N264" s="193">
        <f t="shared" ref="N264:N306" si="23">MONTH(M264)</f>
        <v>1</v>
      </c>
      <c r="O264" s="44"/>
      <c r="P264" s="196"/>
    </row>
    <row r="265" spans="1:16" x14ac:dyDescent="0.2">
      <c r="A265" s="8">
        <f t="shared" ref="A265:A306" si="24">A264+1</f>
        <v>259</v>
      </c>
      <c r="B265" s="1079">
        <f>'Membership Record'!B269</f>
        <v>0</v>
      </c>
      <c r="C265" s="1079"/>
      <c r="D265" s="191">
        <f>IF('Membership Record'!N269="",'Membership Record'!E269,'Membership Record'!N269)</f>
        <v>0</v>
      </c>
      <c r="E265" s="186" t="str">
        <f t="shared" si="20"/>
        <v/>
      </c>
      <c r="F265" s="39"/>
      <c r="G265" s="197"/>
      <c r="H265" s="193">
        <f t="shared" si="21"/>
        <v>1</v>
      </c>
      <c r="I265" s="193"/>
      <c r="K265" s="186" t="str">
        <f t="shared" si="22"/>
        <v/>
      </c>
      <c r="L265" s="39"/>
      <c r="M265" s="197"/>
      <c r="N265" s="193">
        <f t="shared" si="23"/>
        <v>1</v>
      </c>
      <c r="O265" s="44"/>
      <c r="P265" s="196"/>
    </row>
    <row r="266" spans="1:16" x14ac:dyDescent="0.2">
      <c r="A266" s="8">
        <f t="shared" si="24"/>
        <v>260</v>
      </c>
      <c r="B266" s="1079">
        <f>'Membership Record'!B270</f>
        <v>0</v>
      </c>
      <c r="C266" s="1079"/>
      <c r="D266" s="191">
        <f>IF('Membership Record'!N270="",'Membership Record'!E270,'Membership Record'!N270)</f>
        <v>0</v>
      </c>
      <c r="E266" s="186" t="str">
        <f t="shared" si="20"/>
        <v/>
      </c>
      <c r="F266" s="39"/>
      <c r="G266" s="197"/>
      <c r="H266" s="193">
        <f t="shared" si="21"/>
        <v>1</v>
      </c>
      <c r="I266" s="193"/>
      <c r="K266" s="186" t="str">
        <f t="shared" si="22"/>
        <v/>
      </c>
      <c r="L266" s="39"/>
      <c r="M266" s="197"/>
      <c r="N266" s="193">
        <f t="shared" si="23"/>
        <v>1</v>
      </c>
      <c r="O266" s="44"/>
      <c r="P266" s="196"/>
    </row>
    <row r="267" spans="1:16" x14ac:dyDescent="0.2">
      <c r="A267" s="8">
        <f t="shared" si="24"/>
        <v>261</v>
      </c>
      <c r="B267" s="1079">
        <f>'Membership Record'!B271</f>
        <v>0</v>
      </c>
      <c r="C267" s="1079"/>
      <c r="D267" s="191">
        <f>IF('Membership Record'!N271="",'Membership Record'!E271,'Membership Record'!N271)</f>
        <v>0</v>
      </c>
      <c r="E267" s="186" t="str">
        <f t="shared" si="20"/>
        <v/>
      </c>
      <c r="F267" s="39"/>
      <c r="G267" s="197"/>
      <c r="H267" s="193">
        <f t="shared" si="21"/>
        <v>1</v>
      </c>
      <c r="I267" s="193"/>
      <c r="K267" s="186" t="str">
        <f t="shared" si="22"/>
        <v/>
      </c>
      <c r="L267" s="39"/>
      <c r="M267" s="197"/>
      <c r="N267" s="193">
        <f t="shared" si="23"/>
        <v>1</v>
      </c>
      <c r="O267" s="44"/>
      <c r="P267" s="196"/>
    </row>
    <row r="268" spans="1:16" x14ac:dyDescent="0.2">
      <c r="A268" s="8">
        <f t="shared" si="24"/>
        <v>262</v>
      </c>
      <c r="B268" s="1079">
        <f>'Membership Record'!B272</f>
        <v>0</v>
      </c>
      <c r="C268" s="1079"/>
      <c r="D268" s="191">
        <f>IF('Membership Record'!N272="",'Membership Record'!E272,'Membership Record'!N272)</f>
        <v>0</v>
      </c>
      <c r="E268" s="186" t="str">
        <f t="shared" si="20"/>
        <v/>
      </c>
      <c r="F268" s="39"/>
      <c r="G268" s="197"/>
      <c r="H268" s="193">
        <f t="shared" si="21"/>
        <v>1</v>
      </c>
      <c r="I268" s="193"/>
      <c r="K268" s="186" t="str">
        <f t="shared" si="22"/>
        <v/>
      </c>
      <c r="L268" s="39"/>
      <c r="M268" s="197"/>
      <c r="N268" s="193">
        <f t="shared" si="23"/>
        <v>1</v>
      </c>
      <c r="O268" s="44"/>
      <c r="P268" s="196"/>
    </row>
    <row r="269" spans="1:16" x14ac:dyDescent="0.2">
      <c r="A269" s="8">
        <f t="shared" si="24"/>
        <v>263</v>
      </c>
      <c r="B269" s="1079">
        <f>'Membership Record'!B273</f>
        <v>0</v>
      </c>
      <c r="C269" s="1079"/>
      <c r="D269" s="191">
        <f>IF('Membership Record'!N273="",'Membership Record'!E273,'Membership Record'!N273)</f>
        <v>0</v>
      </c>
      <c r="E269" s="186" t="str">
        <f t="shared" si="20"/>
        <v/>
      </c>
      <c r="F269" s="39"/>
      <c r="G269" s="197"/>
      <c r="H269" s="193">
        <f t="shared" si="21"/>
        <v>1</v>
      </c>
      <c r="I269" s="193"/>
      <c r="K269" s="186" t="str">
        <f t="shared" si="22"/>
        <v/>
      </c>
      <c r="L269" s="39"/>
      <c r="M269" s="197"/>
      <c r="N269" s="193">
        <f t="shared" si="23"/>
        <v>1</v>
      </c>
      <c r="O269" s="44"/>
      <c r="P269" s="196"/>
    </row>
    <row r="270" spans="1:16" x14ac:dyDescent="0.2">
      <c r="A270" s="8">
        <f t="shared" si="24"/>
        <v>264</v>
      </c>
      <c r="B270" s="1079">
        <f>'Membership Record'!B274</f>
        <v>0</v>
      </c>
      <c r="C270" s="1079"/>
      <c r="D270" s="191">
        <f>IF('Membership Record'!N274="",'Membership Record'!E274,'Membership Record'!N274)</f>
        <v>0</v>
      </c>
      <c r="E270" s="186" t="str">
        <f t="shared" si="20"/>
        <v/>
      </c>
      <c r="F270" s="39"/>
      <c r="G270" s="197"/>
      <c r="H270" s="193">
        <f t="shared" si="21"/>
        <v>1</v>
      </c>
      <c r="I270" s="193"/>
      <c r="K270" s="186" t="str">
        <f t="shared" si="22"/>
        <v/>
      </c>
      <c r="L270" s="39"/>
      <c r="M270" s="197"/>
      <c r="N270" s="193">
        <f t="shared" si="23"/>
        <v>1</v>
      </c>
      <c r="O270" s="44"/>
      <c r="P270" s="196"/>
    </row>
    <row r="271" spans="1:16" x14ac:dyDescent="0.2">
      <c r="A271" s="8">
        <f t="shared" si="24"/>
        <v>265</v>
      </c>
      <c r="B271" s="1079">
        <f>'Membership Record'!B275</f>
        <v>0</v>
      </c>
      <c r="C271" s="1079"/>
      <c r="D271" s="191">
        <f>IF('Membership Record'!N275="",'Membership Record'!E275,'Membership Record'!N275)</f>
        <v>0</v>
      </c>
      <c r="E271" s="186" t="str">
        <f t="shared" si="20"/>
        <v/>
      </c>
      <c r="F271" s="39"/>
      <c r="G271" s="197"/>
      <c r="H271" s="193">
        <f t="shared" si="21"/>
        <v>1</v>
      </c>
      <c r="I271" s="193"/>
      <c r="K271" s="186" t="str">
        <f t="shared" si="22"/>
        <v/>
      </c>
      <c r="L271" s="39"/>
      <c r="M271" s="197"/>
      <c r="N271" s="193">
        <f t="shared" si="23"/>
        <v>1</v>
      </c>
      <c r="O271" s="44"/>
      <c r="P271" s="196"/>
    </row>
    <row r="272" spans="1:16" x14ac:dyDescent="0.2">
      <c r="A272" s="8">
        <f t="shared" si="24"/>
        <v>266</v>
      </c>
      <c r="B272" s="1079">
        <f>'Membership Record'!B276</f>
        <v>0</v>
      </c>
      <c r="C272" s="1079"/>
      <c r="D272" s="191">
        <f>IF('Membership Record'!N276="",'Membership Record'!E276,'Membership Record'!N276)</f>
        <v>0</v>
      </c>
      <c r="E272" s="186" t="str">
        <f t="shared" si="20"/>
        <v/>
      </c>
      <c r="F272" s="39"/>
      <c r="G272" s="197"/>
      <c r="H272" s="193">
        <f t="shared" si="21"/>
        <v>1</v>
      </c>
      <c r="I272" s="193"/>
      <c r="K272" s="186" t="str">
        <f t="shared" si="22"/>
        <v/>
      </c>
      <c r="L272" s="39"/>
      <c r="M272" s="197"/>
      <c r="N272" s="193">
        <f t="shared" si="23"/>
        <v>1</v>
      </c>
      <c r="O272" s="44"/>
      <c r="P272" s="196"/>
    </row>
    <row r="273" spans="1:16" x14ac:dyDescent="0.2">
      <c r="A273" s="8">
        <f t="shared" si="24"/>
        <v>267</v>
      </c>
      <c r="B273" s="1079">
        <f>'Membership Record'!B277</f>
        <v>0</v>
      </c>
      <c r="C273" s="1079"/>
      <c r="D273" s="191">
        <f>IF('Membership Record'!N277="",'Membership Record'!E277,'Membership Record'!N277)</f>
        <v>0</v>
      </c>
      <c r="E273" s="186" t="str">
        <f t="shared" si="20"/>
        <v/>
      </c>
      <c r="F273" s="39"/>
      <c r="G273" s="197"/>
      <c r="H273" s="193">
        <f t="shared" si="21"/>
        <v>1</v>
      </c>
      <c r="I273" s="193"/>
      <c r="K273" s="186" t="str">
        <f t="shared" si="22"/>
        <v/>
      </c>
      <c r="L273" s="39"/>
      <c r="M273" s="197"/>
      <c r="N273" s="193">
        <f t="shared" si="23"/>
        <v>1</v>
      </c>
      <c r="O273" s="44"/>
      <c r="P273" s="196"/>
    </row>
    <row r="274" spans="1:16" x14ac:dyDescent="0.2">
      <c r="A274" s="8">
        <f t="shared" si="24"/>
        <v>268</v>
      </c>
      <c r="B274" s="1079">
        <f>'Membership Record'!B278</f>
        <v>0</v>
      </c>
      <c r="C274" s="1079"/>
      <c r="D274" s="191">
        <f>IF('Membership Record'!N278="",'Membership Record'!E278,'Membership Record'!N278)</f>
        <v>0</v>
      </c>
      <c r="E274" s="186" t="str">
        <f t="shared" si="20"/>
        <v/>
      </c>
      <c r="F274" s="39"/>
      <c r="G274" s="197"/>
      <c r="H274" s="193">
        <f t="shared" si="21"/>
        <v>1</v>
      </c>
      <c r="I274" s="193"/>
      <c r="K274" s="186" t="str">
        <f t="shared" si="22"/>
        <v/>
      </c>
      <c r="L274" s="39"/>
      <c r="M274" s="197"/>
      <c r="N274" s="193">
        <f t="shared" si="23"/>
        <v>1</v>
      </c>
      <c r="O274" s="44"/>
      <c r="P274" s="196"/>
    </row>
    <row r="275" spans="1:16" x14ac:dyDescent="0.2">
      <c r="A275" s="8">
        <f t="shared" si="24"/>
        <v>269</v>
      </c>
      <c r="B275" s="1079">
        <f>'Membership Record'!B279</f>
        <v>0</v>
      </c>
      <c r="C275" s="1079"/>
      <c r="D275" s="191">
        <f>IF('Membership Record'!N279="",'Membership Record'!E279,'Membership Record'!N279)</f>
        <v>0</v>
      </c>
      <c r="E275" s="186" t="str">
        <f t="shared" si="20"/>
        <v/>
      </c>
      <c r="F275" s="39"/>
      <c r="G275" s="197"/>
      <c r="H275" s="193">
        <f t="shared" si="21"/>
        <v>1</v>
      </c>
      <c r="I275" s="193"/>
      <c r="K275" s="186" t="str">
        <f t="shared" si="22"/>
        <v/>
      </c>
      <c r="L275" s="39"/>
      <c r="M275" s="197"/>
      <c r="N275" s="193">
        <f t="shared" si="23"/>
        <v>1</v>
      </c>
      <c r="O275" s="44"/>
      <c r="P275" s="196"/>
    </row>
    <row r="276" spans="1:16" x14ac:dyDescent="0.2">
      <c r="A276" s="8">
        <f t="shared" si="24"/>
        <v>270</v>
      </c>
      <c r="B276" s="1079">
        <f>'Membership Record'!B280</f>
        <v>0</v>
      </c>
      <c r="C276" s="1079"/>
      <c r="D276" s="191">
        <f>IF('Membership Record'!N280="",'Membership Record'!E280,'Membership Record'!N280)</f>
        <v>0</v>
      </c>
      <c r="E276" s="186" t="str">
        <f t="shared" si="20"/>
        <v/>
      </c>
      <c r="F276" s="39"/>
      <c r="G276" s="197"/>
      <c r="H276" s="193">
        <f t="shared" si="21"/>
        <v>1</v>
      </c>
      <c r="I276" s="193"/>
      <c r="K276" s="186" t="str">
        <f t="shared" si="22"/>
        <v/>
      </c>
      <c r="L276" s="39"/>
      <c r="M276" s="197"/>
      <c r="N276" s="193">
        <f t="shared" si="23"/>
        <v>1</v>
      </c>
      <c r="O276" s="44"/>
      <c r="P276" s="196"/>
    </row>
    <row r="277" spans="1:16" x14ac:dyDescent="0.2">
      <c r="A277" s="8">
        <f t="shared" si="24"/>
        <v>271</v>
      </c>
      <c r="B277" s="1079">
        <f>'Membership Record'!B281</f>
        <v>0</v>
      </c>
      <c r="C277" s="1079"/>
      <c r="D277" s="191">
        <f>IF('Membership Record'!N281="",'Membership Record'!E281,'Membership Record'!N281)</f>
        <v>0</v>
      </c>
      <c r="E277" s="186" t="str">
        <f t="shared" si="20"/>
        <v/>
      </c>
      <c r="F277" s="39"/>
      <c r="G277" s="197"/>
      <c r="H277" s="193">
        <f t="shared" si="21"/>
        <v>1</v>
      </c>
      <c r="I277" s="193"/>
      <c r="K277" s="186" t="str">
        <f t="shared" si="22"/>
        <v/>
      </c>
      <c r="L277" s="39"/>
      <c r="M277" s="197"/>
      <c r="N277" s="193">
        <f t="shared" si="23"/>
        <v>1</v>
      </c>
      <c r="O277" s="44"/>
      <c r="P277" s="196"/>
    </row>
    <row r="278" spans="1:16" x14ac:dyDescent="0.2">
      <c r="A278" s="8">
        <f t="shared" si="24"/>
        <v>272</v>
      </c>
      <c r="B278" s="1079">
        <f>'Membership Record'!B282</f>
        <v>0</v>
      </c>
      <c r="C278" s="1079"/>
      <c r="D278" s="191">
        <f>IF('Membership Record'!N282="",'Membership Record'!E282,'Membership Record'!N282)</f>
        <v>0</v>
      </c>
      <c r="E278" s="186" t="str">
        <f t="shared" si="20"/>
        <v/>
      </c>
      <c r="F278" s="39"/>
      <c r="G278" s="197"/>
      <c r="H278" s="193">
        <f t="shared" si="21"/>
        <v>1</v>
      </c>
      <c r="I278" s="193"/>
      <c r="K278" s="186" t="str">
        <f t="shared" si="22"/>
        <v/>
      </c>
      <c r="L278" s="39"/>
      <c r="M278" s="197"/>
      <c r="N278" s="193">
        <f t="shared" si="23"/>
        <v>1</v>
      </c>
      <c r="O278" s="44"/>
      <c r="P278" s="196"/>
    </row>
    <row r="279" spans="1:16" x14ac:dyDescent="0.2">
      <c r="A279" s="8">
        <f t="shared" si="24"/>
        <v>273</v>
      </c>
      <c r="B279" s="1079">
        <f>'Membership Record'!B283</f>
        <v>0</v>
      </c>
      <c r="C279" s="1079"/>
      <c r="D279" s="191">
        <f>IF('Membership Record'!N283="",'Membership Record'!E283,'Membership Record'!N283)</f>
        <v>0</v>
      </c>
      <c r="E279" s="186" t="str">
        <f t="shared" si="20"/>
        <v/>
      </c>
      <c r="F279" s="39"/>
      <c r="G279" s="197"/>
      <c r="H279" s="193">
        <f t="shared" si="21"/>
        <v>1</v>
      </c>
      <c r="I279" s="193"/>
      <c r="K279" s="186" t="str">
        <f t="shared" si="22"/>
        <v/>
      </c>
      <c r="L279" s="39"/>
      <c r="M279" s="197"/>
      <c r="N279" s="193">
        <f t="shared" si="23"/>
        <v>1</v>
      </c>
      <c r="O279" s="44"/>
      <c r="P279" s="196"/>
    </row>
    <row r="280" spans="1:16" x14ac:dyDescent="0.2">
      <c r="A280" s="8">
        <f t="shared" si="24"/>
        <v>274</v>
      </c>
      <c r="B280" s="1079">
        <f>'Membership Record'!B284</f>
        <v>0</v>
      </c>
      <c r="C280" s="1079"/>
      <c r="D280" s="191">
        <f>IF('Membership Record'!N284="",'Membership Record'!E284,'Membership Record'!N284)</f>
        <v>0</v>
      </c>
      <c r="E280" s="186" t="str">
        <f t="shared" si="20"/>
        <v/>
      </c>
      <c r="F280" s="39"/>
      <c r="G280" s="197"/>
      <c r="H280" s="193">
        <f t="shared" si="21"/>
        <v>1</v>
      </c>
      <c r="I280" s="193"/>
      <c r="K280" s="186" t="str">
        <f t="shared" si="22"/>
        <v/>
      </c>
      <c r="L280" s="39"/>
      <c r="M280" s="197"/>
      <c r="N280" s="193">
        <f t="shared" si="23"/>
        <v>1</v>
      </c>
      <c r="O280" s="44"/>
      <c r="P280" s="196"/>
    </row>
    <row r="281" spans="1:16" x14ac:dyDescent="0.2">
      <c r="A281" s="8">
        <f t="shared" si="24"/>
        <v>275</v>
      </c>
      <c r="B281" s="1079">
        <f>'Membership Record'!B285</f>
        <v>0</v>
      </c>
      <c r="C281" s="1079"/>
      <c r="D281" s="191">
        <f>IF('Membership Record'!N285="",'Membership Record'!E285,'Membership Record'!N285)</f>
        <v>0</v>
      </c>
      <c r="E281" s="186" t="str">
        <f t="shared" si="20"/>
        <v/>
      </c>
      <c r="F281" s="39"/>
      <c r="G281" s="197"/>
      <c r="H281" s="193">
        <f t="shared" si="21"/>
        <v>1</v>
      </c>
      <c r="I281" s="193"/>
      <c r="K281" s="186" t="str">
        <f t="shared" si="22"/>
        <v/>
      </c>
      <c r="L281" s="39"/>
      <c r="M281" s="197"/>
      <c r="N281" s="193">
        <f t="shared" si="23"/>
        <v>1</v>
      </c>
      <c r="O281" s="44"/>
      <c r="P281" s="196"/>
    </row>
    <row r="282" spans="1:16" x14ac:dyDescent="0.2">
      <c r="A282" s="8">
        <f t="shared" si="24"/>
        <v>276</v>
      </c>
      <c r="B282" s="1079">
        <f>'Membership Record'!B286</f>
        <v>0</v>
      </c>
      <c r="C282" s="1079"/>
      <c r="D282" s="191">
        <f>IF('Membership Record'!N286="",'Membership Record'!E286,'Membership Record'!N286)</f>
        <v>0</v>
      </c>
      <c r="E282" s="186" t="str">
        <f t="shared" si="20"/>
        <v/>
      </c>
      <c r="F282" s="39"/>
      <c r="G282" s="197"/>
      <c r="H282" s="193">
        <f t="shared" si="21"/>
        <v>1</v>
      </c>
      <c r="I282" s="193"/>
      <c r="K282" s="186" t="str">
        <f t="shared" si="22"/>
        <v/>
      </c>
      <c r="L282" s="39"/>
      <c r="M282" s="197"/>
      <c r="N282" s="193">
        <f t="shared" si="23"/>
        <v>1</v>
      </c>
      <c r="O282" s="44"/>
      <c r="P282" s="196"/>
    </row>
    <row r="283" spans="1:16" x14ac:dyDescent="0.2">
      <c r="A283" s="8">
        <f t="shared" si="24"/>
        <v>277</v>
      </c>
      <c r="B283" s="1079">
        <f>'Membership Record'!B287</f>
        <v>0</v>
      </c>
      <c r="C283" s="1079"/>
      <c r="D283" s="191">
        <f>IF('Membership Record'!N287="",'Membership Record'!E287,'Membership Record'!N287)</f>
        <v>0</v>
      </c>
      <c r="E283" s="186" t="str">
        <f t="shared" si="20"/>
        <v/>
      </c>
      <c r="F283" s="39"/>
      <c r="G283" s="197"/>
      <c r="H283" s="193">
        <f t="shared" si="21"/>
        <v>1</v>
      </c>
      <c r="I283" s="193"/>
      <c r="K283" s="186" t="str">
        <f t="shared" si="22"/>
        <v/>
      </c>
      <c r="L283" s="39"/>
      <c r="M283" s="197"/>
      <c r="N283" s="193">
        <f t="shared" si="23"/>
        <v>1</v>
      </c>
      <c r="O283" s="44"/>
      <c r="P283" s="196"/>
    </row>
    <row r="284" spans="1:16" x14ac:dyDescent="0.2">
      <c r="A284" s="8">
        <f t="shared" si="24"/>
        <v>278</v>
      </c>
      <c r="B284" s="1079">
        <f>'Membership Record'!B288</f>
        <v>0</v>
      </c>
      <c r="C284" s="1079"/>
      <c r="D284" s="191">
        <f>IF('Membership Record'!N288="",'Membership Record'!E288,'Membership Record'!N288)</f>
        <v>0</v>
      </c>
      <c r="E284" s="186" t="str">
        <f t="shared" si="20"/>
        <v/>
      </c>
      <c r="F284" s="39"/>
      <c r="G284" s="197"/>
      <c r="H284" s="193">
        <f t="shared" si="21"/>
        <v>1</v>
      </c>
      <c r="I284" s="193"/>
      <c r="K284" s="186" t="str">
        <f t="shared" si="22"/>
        <v/>
      </c>
      <c r="L284" s="39"/>
      <c r="M284" s="197"/>
      <c r="N284" s="193">
        <f t="shared" si="23"/>
        <v>1</v>
      </c>
      <c r="O284" s="44"/>
      <c r="P284" s="196"/>
    </row>
    <row r="285" spans="1:16" x14ac:dyDescent="0.2">
      <c r="A285" s="8">
        <f t="shared" si="24"/>
        <v>279</v>
      </c>
      <c r="B285" s="1079">
        <f>'Membership Record'!B289</f>
        <v>0</v>
      </c>
      <c r="C285" s="1079"/>
      <c r="D285" s="191">
        <f>IF('Membership Record'!N289="",'Membership Record'!E289,'Membership Record'!N289)</f>
        <v>0</v>
      </c>
      <c r="E285" s="186" t="str">
        <f t="shared" si="20"/>
        <v/>
      </c>
      <c r="F285" s="39"/>
      <c r="G285" s="197"/>
      <c r="H285" s="193">
        <f t="shared" si="21"/>
        <v>1</v>
      </c>
      <c r="I285" s="193"/>
      <c r="K285" s="186" t="str">
        <f t="shared" si="22"/>
        <v/>
      </c>
      <c r="L285" s="39"/>
      <c r="M285" s="197"/>
      <c r="N285" s="193">
        <f t="shared" si="23"/>
        <v>1</v>
      </c>
      <c r="O285" s="44"/>
      <c r="P285" s="196"/>
    </row>
    <row r="286" spans="1:16" x14ac:dyDescent="0.2">
      <c r="A286" s="8">
        <f t="shared" si="24"/>
        <v>280</v>
      </c>
      <c r="B286" s="1079">
        <f>'Membership Record'!B290</f>
        <v>0</v>
      </c>
      <c r="C286" s="1079"/>
      <c r="D286" s="191">
        <f>IF('Membership Record'!N290="",'Membership Record'!E290,'Membership Record'!N290)</f>
        <v>0</v>
      </c>
      <c r="E286" s="186" t="str">
        <f t="shared" si="20"/>
        <v/>
      </c>
      <c r="F286" s="39"/>
      <c r="G286" s="197"/>
      <c r="H286" s="193">
        <f t="shared" si="21"/>
        <v>1</v>
      </c>
      <c r="I286" s="193"/>
      <c r="K286" s="186" t="str">
        <f t="shared" si="22"/>
        <v/>
      </c>
      <c r="L286" s="39"/>
      <c r="M286" s="197"/>
      <c r="N286" s="193">
        <f t="shared" si="23"/>
        <v>1</v>
      </c>
      <c r="O286" s="44"/>
      <c r="P286" s="196"/>
    </row>
    <row r="287" spans="1:16" x14ac:dyDescent="0.2">
      <c r="A287" s="8">
        <f t="shared" si="24"/>
        <v>281</v>
      </c>
      <c r="B287" s="1079">
        <f>'Membership Record'!B291</f>
        <v>0</v>
      </c>
      <c r="C287" s="1079"/>
      <c r="D287" s="191">
        <f>IF('Membership Record'!N291="",'Membership Record'!E291,'Membership Record'!N291)</f>
        <v>0</v>
      </c>
      <c r="E287" s="186" t="str">
        <f t="shared" si="20"/>
        <v/>
      </c>
      <c r="F287" s="39"/>
      <c r="G287" s="197"/>
      <c r="H287" s="193">
        <f t="shared" si="21"/>
        <v>1</v>
      </c>
      <c r="I287" s="193"/>
      <c r="K287" s="186" t="str">
        <f t="shared" si="22"/>
        <v/>
      </c>
      <c r="L287" s="39"/>
      <c r="M287" s="197"/>
      <c r="N287" s="193">
        <f t="shared" si="23"/>
        <v>1</v>
      </c>
      <c r="O287" s="44"/>
      <c r="P287" s="196"/>
    </row>
    <row r="288" spans="1:16" x14ac:dyDescent="0.2">
      <c r="A288" s="8">
        <f t="shared" si="24"/>
        <v>282</v>
      </c>
      <c r="B288" s="1079">
        <f>'Membership Record'!B292</f>
        <v>0</v>
      </c>
      <c r="C288" s="1079"/>
      <c r="D288" s="191">
        <f>IF('Membership Record'!N292="",'Membership Record'!E292,'Membership Record'!N292)</f>
        <v>0</v>
      </c>
      <c r="E288" s="186" t="str">
        <f t="shared" si="20"/>
        <v/>
      </c>
      <c r="F288" s="39"/>
      <c r="G288" s="197"/>
      <c r="H288" s="193">
        <f t="shared" si="21"/>
        <v>1</v>
      </c>
      <c r="I288" s="193"/>
      <c r="K288" s="186" t="str">
        <f t="shared" si="22"/>
        <v/>
      </c>
      <c r="L288" s="39"/>
      <c r="M288" s="197"/>
      <c r="N288" s="193">
        <f t="shared" si="23"/>
        <v>1</v>
      </c>
      <c r="O288" s="44"/>
      <c r="P288" s="196"/>
    </row>
    <row r="289" spans="1:16" x14ac:dyDescent="0.2">
      <c r="A289" s="8">
        <f t="shared" si="24"/>
        <v>283</v>
      </c>
      <c r="B289" s="1079">
        <f>'Membership Record'!B293</f>
        <v>0</v>
      </c>
      <c r="C289" s="1079"/>
      <c r="D289" s="191">
        <f>IF('Membership Record'!N293="",'Membership Record'!E293,'Membership Record'!N293)</f>
        <v>0</v>
      </c>
      <c r="E289" s="186" t="str">
        <f t="shared" si="20"/>
        <v/>
      </c>
      <c r="F289" s="39"/>
      <c r="G289" s="197"/>
      <c r="H289" s="193">
        <f t="shared" si="21"/>
        <v>1</v>
      </c>
      <c r="I289" s="193"/>
      <c r="K289" s="186" t="str">
        <f t="shared" si="22"/>
        <v/>
      </c>
      <c r="L289" s="39"/>
      <c r="M289" s="197"/>
      <c r="N289" s="193">
        <f t="shared" si="23"/>
        <v>1</v>
      </c>
      <c r="O289" s="44"/>
      <c r="P289" s="196"/>
    </row>
    <row r="290" spans="1:16" x14ac:dyDescent="0.2">
      <c r="A290" s="8">
        <f t="shared" si="24"/>
        <v>284</v>
      </c>
      <c r="B290" s="1079">
        <f>'Membership Record'!B294</f>
        <v>0</v>
      </c>
      <c r="C290" s="1079"/>
      <c r="D290" s="191">
        <f>IF('Membership Record'!N294="",'Membership Record'!E294,'Membership Record'!N294)</f>
        <v>0</v>
      </c>
      <c r="E290" s="186" t="str">
        <f t="shared" si="20"/>
        <v/>
      </c>
      <c r="F290" s="39"/>
      <c r="G290" s="197"/>
      <c r="H290" s="193">
        <f t="shared" si="21"/>
        <v>1</v>
      </c>
      <c r="I290" s="193"/>
      <c r="K290" s="186" t="str">
        <f t="shared" si="22"/>
        <v/>
      </c>
      <c r="L290" s="39"/>
      <c r="M290" s="197"/>
      <c r="N290" s="193">
        <f t="shared" si="23"/>
        <v>1</v>
      </c>
      <c r="O290" s="44"/>
      <c r="P290" s="196"/>
    </row>
    <row r="291" spans="1:16" x14ac:dyDescent="0.2">
      <c r="A291" s="8">
        <f t="shared" si="24"/>
        <v>285</v>
      </c>
      <c r="B291" s="1079">
        <f>'Membership Record'!B295</f>
        <v>0</v>
      </c>
      <c r="C291" s="1079"/>
      <c r="D291" s="191">
        <f>IF('Membership Record'!N295="",'Membership Record'!E295,'Membership Record'!N295)</f>
        <v>0</v>
      </c>
      <c r="E291" s="186" t="str">
        <f t="shared" si="20"/>
        <v/>
      </c>
      <c r="F291" s="39"/>
      <c r="G291" s="197"/>
      <c r="H291" s="193">
        <f t="shared" si="21"/>
        <v>1</v>
      </c>
      <c r="I291" s="193"/>
      <c r="K291" s="186" t="str">
        <f t="shared" si="22"/>
        <v/>
      </c>
      <c r="L291" s="39"/>
      <c r="M291" s="197"/>
      <c r="N291" s="193">
        <f t="shared" si="23"/>
        <v>1</v>
      </c>
      <c r="O291" s="44"/>
      <c r="P291" s="196"/>
    </row>
    <row r="292" spans="1:16" x14ac:dyDescent="0.2">
      <c r="A292" s="8">
        <f t="shared" si="24"/>
        <v>286</v>
      </c>
      <c r="B292" s="1079">
        <f>'Membership Record'!B296</f>
        <v>0</v>
      </c>
      <c r="C292" s="1079"/>
      <c r="D292" s="191">
        <f>IF('Membership Record'!N296="",'Membership Record'!E296,'Membership Record'!N296)</f>
        <v>0</v>
      </c>
      <c r="E292" s="186" t="str">
        <f t="shared" si="20"/>
        <v/>
      </c>
      <c r="F292" s="39"/>
      <c r="G292" s="197"/>
      <c r="H292" s="193">
        <f t="shared" si="21"/>
        <v>1</v>
      </c>
      <c r="I292" s="193"/>
      <c r="K292" s="186" t="str">
        <f t="shared" si="22"/>
        <v/>
      </c>
      <c r="L292" s="39"/>
      <c r="M292" s="197"/>
      <c r="N292" s="193">
        <f t="shared" si="23"/>
        <v>1</v>
      </c>
      <c r="O292" s="44"/>
      <c r="P292" s="196"/>
    </row>
    <row r="293" spans="1:16" x14ac:dyDescent="0.2">
      <c r="A293" s="8">
        <f t="shared" si="24"/>
        <v>287</v>
      </c>
      <c r="B293" s="1079">
        <f>'Membership Record'!B297</f>
        <v>0</v>
      </c>
      <c r="C293" s="1079"/>
      <c r="D293" s="191">
        <f>IF('Membership Record'!N297="",'Membership Record'!E297,'Membership Record'!N297)</f>
        <v>0</v>
      </c>
      <c r="E293" s="186" t="str">
        <f t="shared" si="20"/>
        <v/>
      </c>
      <c r="F293" s="39"/>
      <c r="G293" s="197"/>
      <c r="H293" s="193">
        <f t="shared" si="21"/>
        <v>1</v>
      </c>
      <c r="I293" s="193"/>
      <c r="K293" s="186" t="str">
        <f t="shared" si="22"/>
        <v/>
      </c>
      <c r="L293" s="39"/>
      <c r="M293" s="197"/>
      <c r="N293" s="193">
        <f t="shared" si="23"/>
        <v>1</v>
      </c>
      <c r="O293" s="44"/>
      <c r="P293" s="196"/>
    </row>
    <row r="294" spans="1:16" x14ac:dyDescent="0.2">
      <c r="A294" s="8">
        <f t="shared" si="24"/>
        <v>288</v>
      </c>
      <c r="B294" s="1079">
        <f>'Membership Record'!B298</f>
        <v>0</v>
      </c>
      <c r="C294" s="1079"/>
      <c r="D294" s="191">
        <f>IF('Membership Record'!N298="",'Membership Record'!E298,'Membership Record'!N298)</f>
        <v>0</v>
      </c>
      <c r="E294" s="186" t="str">
        <f t="shared" si="20"/>
        <v/>
      </c>
      <c r="F294" s="39"/>
      <c r="G294" s="197"/>
      <c r="H294" s="193">
        <f t="shared" si="21"/>
        <v>1</v>
      </c>
      <c r="I294" s="193"/>
      <c r="K294" s="186" t="str">
        <f t="shared" si="22"/>
        <v/>
      </c>
      <c r="L294" s="39"/>
      <c r="M294" s="197"/>
      <c r="N294" s="193">
        <f t="shared" si="23"/>
        <v>1</v>
      </c>
      <c r="O294" s="44"/>
      <c r="P294" s="196"/>
    </row>
    <row r="295" spans="1:16" x14ac:dyDescent="0.2">
      <c r="A295" s="8">
        <f t="shared" si="24"/>
        <v>289</v>
      </c>
      <c r="B295" s="1079">
        <f>'Membership Record'!B299</f>
        <v>0</v>
      </c>
      <c r="C295" s="1079"/>
      <c r="D295" s="191">
        <f>IF('Membership Record'!N299="",'Membership Record'!E299,'Membership Record'!N299)</f>
        <v>0</v>
      </c>
      <c r="E295" s="186" t="str">
        <f t="shared" si="20"/>
        <v/>
      </c>
      <c r="F295" s="39"/>
      <c r="G295" s="197"/>
      <c r="H295" s="193">
        <f t="shared" si="21"/>
        <v>1</v>
      </c>
      <c r="I295" s="193"/>
      <c r="K295" s="186" t="str">
        <f t="shared" si="22"/>
        <v/>
      </c>
      <c r="L295" s="39"/>
      <c r="M295" s="197"/>
      <c r="N295" s="193">
        <f t="shared" si="23"/>
        <v>1</v>
      </c>
      <c r="O295" s="44"/>
      <c r="P295" s="196"/>
    </row>
    <row r="296" spans="1:16" x14ac:dyDescent="0.2">
      <c r="A296" s="8">
        <f t="shared" si="24"/>
        <v>290</v>
      </c>
      <c r="B296" s="1079">
        <f>'Membership Record'!B300</f>
        <v>0</v>
      </c>
      <c r="C296" s="1079"/>
      <c r="D296" s="191">
        <f>IF('Membership Record'!N300="",'Membership Record'!E300,'Membership Record'!N300)</f>
        <v>0</v>
      </c>
      <c r="E296" s="186" t="str">
        <f t="shared" si="20"/>
        <v/>
      </c>
      <c r="F296" s="39"/>
      <c r="G296" s="197"/>
      <c r="H296" s="193">
        <f t="shared" si="21"/>
        <v>1</v>
      </c>
      <c r="I296" s="193"/>
      <c r="K296" s="186" t="str">
        <f t="shared" si="22"/>
        <v/>
      </c>
      <c r="L296" s="39"/>
      <c r="M296" s="197"/>
      <c r="N296" s="193">
        <f t="shared" si="23"/>
        <v>1</v>
      </c>
      <c r="O296" s="44"/>
      <c r="P296" s="196"/>
    </row>
    <row r="297" spans="1:16" x14ac:dyDescent="0.2">
      <c r="A297" s="8">
        <f t="shared" si="24"/>
        <v>291</v>
      </c>
      <c r="B297" s="1079">
        <f>'Membership Record'!B301</f>
        <v>0</v>
      </c>
      <c r="C297" s="1079"/>
      <c r="D297" s="191">
        <f>IF('Membership Record'!N301="",'Membership Record'!E301,'Membership Record'!N301)</f>
        <v>0</v>
      </c>
      <c r="E297" s="186" t="str">
        <f t="shared" si="20"/>
        <v/>
      </c>
      <c r="F297" s="39"/>
      <c r="G297" s="197"/>
      <c r="H297" s="193">
        <f t="shared" si="21"/>
        <v>1</v>
      </c>
      <c r="I297" s="193"/>
      <c r="K297" s="186" t="str">
        <f t="shared" si="22"/>
        <v/>
      </c>
      <c r="L297" s="39"/>
      <c r="M297" s="197"/>
      <c r="N297" s="193">
        <f t="shared" si="23"/>
        <v>1</v>
      </c>
      <c r="O297" s="44"/>
      <c r="P297" s="196"/>
    </row>
    <row r="298" spans="1:16" x14ac:dyDescent="0.2">
      <c r="A298" s="8">
        <f t="shared" si="24"/>
        <v>292</v>
      </c>
      <c r="B298" s="1079">
        <f>'Membership Record'!B302</f>
        <v>0</v>
      </c>
      <c r="C298" s="1079"/>
      <c r="D298" s="191">
        <f>IF('Membership Record'!N302="",'Membership Record'!E302,'Membership Record'!N302)</f>
        <v>0</v>
      </c>
      <c r="E298" s="186" t="str">
        <f t="shared" si="20"/>
        <v/>
      </c>
      <c r="F298" s="39"/>
      <c r="G298" s="197"/>
      <c r="H298" s="193">
        <f t="shared" si="21"/>
        <v>1</v>
      </c>
      <c r="I298" s="193"/>
      <c r="K298" s="186" t="str">
        <f t="shared" si="22"/>
        <v/>
      </c>
      <c r="L298" s="39"/>
      <c r="M298" s="197"/>
      <c r="N298" s="193">
        <f t="shared" si="23"/>
        <v>1</v>
      </c>
      <c r="O298" s="44"/>
      <c r="P298" s="196"/>
    </row>
    <row r="299" spans="1:16" x14ac:dyDescent="0.2">
      <c r="A299" s="8">
        <f t="shared" si="24"/>
        <v>293</v>
      </c>
      <c r="B299" s="1079">
        <f>'Membership Record'!B303</f>
        <v>0</v>
      </c>
      <c r="C299" s="1079"/>
      <c r="D299" s="191">
        <f>IF('Membership Record'!N303="",'Membership Record'!E303,'Membership Record'!N303)</f>
        <v>0</v>
      </c>
      <c r="E299" s="186" t="str">
        <f t="shared" si="20"/>
        <v/>
      </c>
      <c r="F299" s="39"/>
      <c r="G299" s="197"/>
      <c r="H299" s="193">
        <f t="shared" si="21"/>
        <v>1</v>
      </c>
      <c r="I299" s="193"/>
      <c r="K299" s="186" t="str">
        <f t="shared" si="22"/>
        <v/>
      </c>
      <c r="L299" s="39"/>
      <c r="M299" s="197"/>
      <c r="N299" s="193">
        <f t="shared" si="23"/>
        <v>1</v>
      </c>
      <c r="O299" s="44"/>
      <c r="P299" s="196"/>
    </row>
    <row r="300" spans="1:16" x14ac:dyDescent="0.2">
      <c r="A300" s="8">
        <f t="shared" si="24"/>
        <v>294</v>
      </c>
      <c r="B300" s="1079">
        <f>'Membership Record'!B304</f>
        <v>0</v>
      </c>
      <c r="C300" s="1079"/>
      <c r="D300" s="191">
        <f>IF('Membership Record'!N304="",'Membership Record'!E304,'Membership Record'!N304)</f>
        <v>0</v>
      </c>
      <c r="E300" s="186" t="str">
        <f t="shared" si="20"/>
        <v/>
      </c>
      <c r="F300" s="39"/>
      <c r="G300" s="197"/>
      <c r="H300" s="193">
        <f t="shared" si="21"/>
        <v>1</v>
      </c>
      <c r="I300" s="193"/>
      <c r="K300" s="186" t="str">
        <f t="shared" si="22"/>
        <v/>
      </c>
      <c r="L300" s="39"/>
      <c r="M300" s="197"/>
      <c r="N300" s="193">
        <f t="shared" si="23"/>
        <v>1</v>
      </c>
      <c r="O300" s="44"/>
      <c r="P300" s="196"/>
    </row>
    <row r="301" spans="1:16" x14ac:dyDescent="0.2">
      <c r="A301" s="8">
        <f t="shared" si="24"/>
        <v>295</v>
      </c>
      <c r="B301" s="1079">
        <f>'Membership Record'!B305</f>
        <v>0</v>
      </c>
      <c r="C301" s="1079"/>
      <c r="D301" s="191">
        <f>IF('Membership Record'!N305="",'Membership Record'!E305,'Membership Record'!N305)</f>
        <v>0</v>
      </c>
      <c r="E301" s="186" t="str">
        <f t="shared" si="20"/>
        <v/>
      </c>
      <c r="F301" s="39"/>
      <c r="G301" s="197"/>
      <c r="H301" s="193">
        <f t="shared" si="21"/>
        <v>1</v>
      </c>
      <c r="I301" s="193"/>
      <c r="K301" s="186" t="str">
        <f t="shared" si="22"/>
        <v/>
      </c>
      <c r="L301" s="39"/>
      <c r="M301" s="197"/>
      <c r="N301" s="193">
        <f t="shared" si="23"/>
        <v>1</v>
      </c>
      <c r="O301" s="44"/>
      <c r="P301" s="196"/>
    </row>
    <row r="302" spans="1:16" x14ac:dyDescent="0.2">
      <c r="A302" s="8">
        <f t="shared" si="24"/>
        <v>296</v>
      </c>
      <c r="B302" s="1079">
        <f>'Membership Record'!B306</f>
        <v>0</v>
      </c>
      <c r="C302" s="1079"/>
      <c r="D302" s="191">
        <f>IF('Membership Record'!N306="",'Membership Record'!E306,'Membership Record'!N306)</f>
        <v>0</v>
      </c>
      <c r="E302" s="186" t="str">
        <f t="shared" si="20"/>
        <v/>
      </c>
      <c r="F302" s="39"/>
      <c r="G302" s="197"/>
      <c r="H302" s="193">
        <f t="shared" si="21"/>
        <v>1</v>
      </c>
      <c r="I302" s="193"/>
      <c r="K302" s="186" t="str">
        <f t="shared" si="22"/>
        <v/>
      </c>
      <c r="L302" s="39"/>
      <c r="M302" s="197"/>
      <c r="N302" s="193">
        <f t="shared" si="23"/>
        <v>1</v>
      </c>
      <c r="O302" s="44"/>
      <c r="P302" s="196"/>
    </row>
    <row r="303" spans="1:16" x14ac:dyDescent="0.2">
      <c r="A303" s="8">
        <f t="shared" si="24"/>
        <v>297</v>
      </c>
      <c r="B303" s="1079">
        <f>'Membership Record'!B307</f>
        <v>0</v>
      </c>
      <c r="C303" s="1079"/>
      <c r="D303" s="191">
        <f>IF('Membership Record'!N307="",'Membership Record'!E307,'Membership Record'!N307)</f>
        <v>0</v>
      </c>
      <c r="E303" s="186" t="str">
        <f t="shared" si="20"/>
        <v/>
      </c>
      <c r="F303" s="39"/>
      <c r="G303" s="197"/>
      <c r="H303" s="193">
        <f t="shared" si="21"/>
        <v>1</v>
      </c>
      <c r="I303" s="193"/>
      <c r="K303" s="186" t="str">
        <f t="shared" si="22"/>
        <v/>
      </c>
      <c r="L303" s="39"/>
      <c r="M303" s="197"/>
      <c r="N303" s="193">
        <f t="shared" si="23"/>
        <v>1</v>
      </c>
      <c r="O303" s="44"/>
      <c r="P303" s="196"/>
    </row>
    <row r="304" spans="1:16" x14ac:dyDescent="0.2">
      <c r="A304" s="8">
        <f t="shared" si="24"/>
        <v>298</v>
      </c>
      <c r="B304" s="1079">
        <f>'Membership Record'!B308</f>
        <v>0</v>
      </c>
      <c r="C304" s="1079"/>
      <c r="D304" s="191">
        <f>IF('Membership Record'!N308="",'Membership Record'!E308,'Membership Record'!N308)</f>
        <v>0</v>
      </c>
      <c r="E304" s="186" t="str">
        <f t="shared" si="20"/>
        <v/>
      </c>
      <c r="F304" s="39"/>
      <c r="G304" s="197"/>
      <c r="H304" s="193">
        <f t="shared" si="21"/>
        <v>1</v>
      </c>
      <c r="I304" s="193"/>
      <c r="K304" s="186" t="str">
        <f t="shared" si="22"/>
        <v/>
      </c>
      <c r="L304" s="39"/>
      <c r="M304" s="197"/>
      <c r="N304" s="193">
        <f t="shared" si="23"/>
        <v>1</v>
      </c>
      <c r="O304" s="44"/>
      <c r="P304" s="196"/>
    </row>
    <row r="305" spans="1:16" x14ac:dyDescent="0.2">
      <c r="A305" s="8">
        <f t="shared" si="24"/>
        <v>299</v>
      </c>
      <c r="B305" s="1079">
        <f>'Membership Record'!B309</f>
        <v>0</v>
      </c>
      <c r="C305" s="1079"/>
      <c r="D305" s="191">
        <f>IF('Membership Record'!N309="",'Membership Record'!E309,'Membership Record'!N309)</f>
        <v>0</v>
      </c>
      <c r="E305" s="186" t="str">
        <f t="shared" si="20"/>
        <v/>
      </c>
      <c r="F305" s="39"/>
      <c r="G305" s="197"/>
      <c r="H305" s="193">
        <f t="shared" si="21"/>
        <v>1</v>
      </c>
      <c r="I305" s="193"/>
      <c r="K305" s="186" t="str">
        <f t="shared" si="22"/>
        <v/>
      </c>
      <c r="L305" s="39"/>
      <c r="M305" s="197"/>
      <c r="N305" s="193">
        <f t="shared" si="23"/>
        <v>1</v>
      </c>
      <c r="O305" s="44"/>
      <c r="P305" s="196"/>
    </row>
    <row r="306" spans="1:16" x14ac:dyDescent="0.2">
      <c r="A306" s="8">
        <f t="shared" si="24"/>
        <v>300</v>
      </c>
      <c r="B306" s="1077">
        <f>'Membership Record'!B310</f>
        <v>0</v>
      </c>
      <c r="C306" s="1077"/>
      <c r="D306" s="198">
        <f>IF('Membership Record'!N310="",'Membership Record'!E310,'Membership Record'!N310)</f>
        <v>0</v>
      </c>
      <c r="E306" s="186" t="str">
        <f t="shared" si="20"/>
        <v/>
      </c>
      <c r="F306" s="39"/>
      <c r="G306" s="200"/>
      <c r="H306" s="201">
        <f t="shared" si="21"/>
        <v>1</v>
      </c>
      <c r="I306" s="201"/>
      <c r="K306" s="186" t="str">
        <f t="shared" si="22"/>
        <v/>
      </c>
      <c r="L306" s="39"/>
      <c r="M306" s="200"/>
      <c r="N306" s="201">
        <f t="shared" si="23"/>
        <v>1</v>
      </c>
      <c r="O306" s="48"/>
      <c r="P306" s="202"/>
    </row>
  </sheetData>
  <sheetProtection algorithmName="SHA-512" hashValue="O9rJruvN90d0uoaoogCzCWzPb9QCzO92H3YVvjUHaoukx2ZiCSwJyUQD96Bztk+3bbGJq2qZjeU9Q6b6wJPGQA==" saltValue="N062dKe5sXlBxmIP7yKMzA==" spinCount="100000" sheet="1" objects="1" scenarios="1" formatColumns="0" selectLockedCells="1"/>
  <autoFilter ref="A6:D306" xr:uid="{00000000-0009-0000-0000-000006000000}">
    <filterColumn colId="1" showButton="0"/>
  </autoFilter>
  <dataConsolidate/>
  <mergeCells count="308">
    <mergeCell ref="B6:C6"/>
    <mergeCell ref="B7:C7"/>
    <mergeCell ref="B8:C8"/>
    <mergeCell ref="B9:C9"/>
    <mergeCell ref="B10:C10"/>
    <mergeCell ref="B11:C11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A1:D5"/>
    <mergeCell ref="L3:O3"/>
    <mergeCell ref="L4:O4"/>
    <mergeCell ref="E1:I2"/>
    <mergeCell ref="B306:C306"/>
    <mergeCell ref="K1:P2"/>
    <mergeCell ref="F3:G3"/>
    <mergeCell ref="F4:G4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</mergeCells>
  <dataValidations count="2">
    <dataValidation type="list" allowBlank="1" showInputMessage="1" showErrorMessage="1" prompt="Has this man pad his Candidate Fee?" sqref="F7:F306" xr:uid="{00000000-0002-0000-0600-000000000000}">
      <formula1>$AC$2:$AC$3</formula1>
    </dataValidation>
    <dataValidation type="list" allowBlank="1" showInputMessage="1" showErrorMessage="1" prompt="Has this man pad his Initiation Fee?" sqref="L7:L306" xr:uid="{00000000-0002-0000-0600-000001000000}">
      <formula1>$AC$2:$AC$3</formula1>
    </dataValidation>
  </dataValidations>
  <pageMargins left="0.7" right="0.7" top="0.75" bottom="0.75" header="0.3" footer="0.3"/>
  <pageSetup scale="85" orientation="landscape" r:id="rId1"/>
  <rowBreaks count="7" manualBreakCount="7">
    <brk id="41" max="15" man="1"/>
    <brk id="81" max="15" man="1"/>
    <brk id="122" max="15" man="1"/>
    <brk id="163" max="15" man="1"/>
    <brk id="204" max="15" man="1"/>
    <brk id="245" max="15" man="1"/>
    <brk id="286" max="15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I309"/>
  <sheetViews>
    <sheetView showGridLines="0" zoomScaleNormal="100" workbookViewId="0">
      <pane xSplit="15" ySplit="9" topLeftCell="P10" activePane="bottomRight" state="frozen"/>
      <selection pane="topRight" activeCell="P1" sqref="P1"/>
      <selection pane="bottomLeft" activeCell="A10" sqref="A10"/>
      <selection pane="bottomRight" activeCell="P10" sqref="P10:P16"/>
    </sheetView>
  </sheetViews>
  <sheetFormatPr defaultColWidth="9.28515625" defaultRowHeight="12.75" x14ac:dyDescent="0.2"/>
  <cols>
    <col min="1" max="1" width="3.28515625" style="8" customWidth="1"/>
    <col min="2" max="2" width="3.85546875" style="8" customWidth="1"/>
    <col min="3" max="3" width="14.5703125" style="8" customWidth="1"/>
    <col min="4" max="4" width="10" style="51" customWidth="1"/>
    <col min="5" max="5" width="9.5703125" style="58" customWidth="1"/>
    <col min="6" max="6" width="9" style="58" customWidth="1"/>
    <col min="7" max="7" width="9.5703125" style="58" customWidth="1"/>
    <col min="8" max="8" width="9.140625" style="58" bestFit="1" customWidth="1"/>
    <col min="9" max="9" width="9.42578125" style="58" customWidth="1"/>
    <col min="10" max="11" width="9.85546875" style="58" customWidth="1"/>
    <col min="12" max="12" width="9.42578125" style="58" customWidth="1"/>
    <col min="13" max="13" width="9.7109375" style="58" customWidth="1"/>
    <col min="14" max="14" width="8.7109375" style="58" customWidth="1"/>
    <col min="15" max="15" width="9.28515625" style="58" customWidth="1"/>
    <col min="16" max="16" width="8.7109375" style="335" bestFit="1" customWidth="1"/>
    <col min="17" max="17" width="8.85546875" style="332" customWidth="1"/>
    <col min="18" max="18" width="8.85546875" style="336" customWidth="1"/>
    <col min="19" max="19" width="9" style="332" bestFit="1" customWidth="1"/>
    <col min="20" max="20" width="8.85546875" style="332" customWidth="1"/>
    <col min="21" max="21" width="11.5703125" style="337" bestFit="1" customWidth="1"/>
    <col min="22" max="22" width="9" style="332" bestFit="1" customWidth="1"/>
    <col min="23" max="24" width="8.85546875" style="51" customWidth="1"/>
    <col min="25" max="25" width="9" style="51" bestFit="1" customWidth="1"/>
    <col min="26" max="26" width="8.85546875" style="51" customWidth="1"/>
    <col min="27" max="27" width="11.5703125" style="51" bestFit="1" customWidth="1"/>
    <col min="28" max="28" width="9" style="335" bestFit="1" customWidth="1"/>
    <col min="29" max="30" width="8.85546875" style="332" customWidth="1"/>
    <col min="31" max="31" width="9" style="332" bestFit="1" customWidth="1"/>
    <col min="32" max="32" width="8.85546875" style="332" customWidth="1"/>
    <col min="33" max="33" width="11.5703125" style="337" bestFit="1" customWidth="1"/>
    <col min="34" max="34" width="9" style="332" bestFit="1" customWidth="1"/>
    <col min="35" max="36" width="8.85546875" style="51" customWidth="1"/>
    <col min="37" max="37" width="9" style="51" bestFit="1" customWidth="1"/>
    <col min="38" max="38" width="8.85546875" style="51" customWidth="1"/>
    <col min="39" max="39" width="12.28515625" style="51" customWidth="1"/>
    <col min="40" max="40" width="8.7109375" style="335" bestFit="1" customWidth="1"/>
    <col min="41" max="42" width="8.85546875" style="332" customWidth="1"/>
    <col min="43" max="43" width="9" style="332" bestFit="1" customWidth="1"/>
    <col min="44" max="44" width="8.85546875" style="332" customWidth="1"/>
    <col min="45" max="45" width="12.7109375" style="337" customWidth="1"/>
    <col min="46" max="46" width="7.85546875" style="332" customWidth="1"/>
    <col min="47" max="48" width="8.85546875" style="51" customWidth="1"/>
    <col min="49" max="49" width="9" style="51" bestFit="1" customWidth="1"/>
    <col min="50" max="50" width="8.85546875" style="51" customWidth="1"/>
    <col min="51" max="51" width="12.140625" style="51" customWidth="1"/>
    <col min="52" max="52" width="9" style="335" bestFit="1" customWidth="1"/>
    <col min="53" max="54" width="8.85546875" style="332" customWidth="1"/>
    <col min="55" max="55" width="7.28515625" style="332" customWidth="1"/>
    <col min="56" max="56" width="8.85546875" style="332" customWidth="1"/>
    <col min="57" max="57" width="11.5703125" style="337" customWidth="1"/>
    <col min="58" max="58" width="9" style="332" bestFit="1" customWidth="1"/>
    <col min="59" max="60" width="8.85546875" style="51" customWidth="1"/>
    <col min="61" max="61" width="7" style="51" customWidth="1"/>
    <col min="62" max="62" width="8.85546875" style="51" customWidth="1"/>
    <col min="63" max="63" width="11.7109375" style="51" customWidth="1"/>
    <col min="64" max="64" width="8.140625" style="335" customWidth="1"/>
    <col min="65" max="66" width="8.85546875" style="332" customWidth="1"/>
    <col min="67" max="67" width="7.28515625" style="332" customWidth="1"/>
    <col min="68" max="68" width="8.85546875" style="332" customWidth="1"/>
    <col min="69" max="69" width="11.85546875" style="337" customWidth="1"/>
    <col min="70" max="70" width="8.28515625" style="332" customWidth="1"/>
    <col min="71" max="72" width="8.85546875" style="51" customWidth="1"/>
    <col min="73" max="73" width="7.42578125" style="51" customWidth="1"/>
    <col min="74" max="74" width="8.85546875" style="51" customWidth="1"/>
    <col min="75" max="75" width="11.7109375" style="51" customWidth="1"/>
    <col min="76" max="76" width="8.140625" style="335" customWidth="1"/>
    <col min="77" max="78" width="8.85546875" style="332" customWidth="1"/>
    <col min="79" max="79" width="7.28515625" style="332" customWidth="1"/>
    <col min="80" max="80" width="8.85546875" style="332" customWidth="1"/>
    <col min="81" max="81" width="11.7109375" style="337" customWidth="1"/>
    <col min="82" max="82" width="8.140625" style="332" customWidth="1"/>
    <col min="83" max="84" width="8.85546875" style="51" customWidth="1"/>
    <col min="85" max="85" width="7.28515625" style="8" customWidth="1"/>
    <col min="86" max="86" width="9.28515625" style="8"/>
    <col min="87" max="87" width="12.5703125" style="8" customWidth="1"/>
    <col min="88" max="16384" width="9.28515625" style="8"/>
  </cols>
  <sheetData>
    <row r="1" spans="1:87" ht="15" customHeight="1" x14ac:dyDescent="0.2">
      <c r="A1" s="1073"/>
      <c r="B1" s="1073"/>
      <c r="C1" s="1073"/>
      <c r="D1" s="1087" t="s">
        <v>326</v>
      </c>
      <c r="E1" s="1087"/>
      <c r="F1" s="1086" t="s">
        <v>327</v>
      </c>
      <c r="G1" s="1086"/>
      <c r="H1" s="1085" t="s">
        <v>328</v>
      </c>
      <c r="I1" s="1085"/>
      <c r="J1" s="1084" t="s">
        <v>329</v>
      </c>
      <c r="K1" s="1084"/>
      <c r="L1" s="1084" t="s">
        <v>330</v>
      </c>
      <c r="M1" s="1084"/>
      <c r="N1" s="1082" t="s">
        <v>430</v>
      </c>
      <c r="O1" s="1083"/>
      <c r="P1" s="1129" t="s">
        <v>13</v>
      </c>
      <c r="Q1" s="1130"/>
      <c r="R1" s="1130"/>
      <c r="S1" s="1130"/>
      <c r="T1" s="1130"/>
      <c r="U1" s="1131"/>
      <c r="V1" s="1135" t="s">
        <v>14</v>
      </c>
      <c r="W1" s="1136"/>
      <c r="X1" s="1136"/>
      <c r="Y1" s="1136"/>
      <c r="Z1" s="1136"/>
      <c r="AA1" s="1136"/>
      <c r="AB1" s="1139" t="s">
        <v>15</v>
      </c>
      <c r="AC1" s="1130"/>
      <c r="AD1" s="1130"/>
      <c r="AE1" s="1130"/>
      <c r="AF1" s="1130"/>
      <c r="AG1" s="1131"/>
      <c r="AH1" s="1135" t="s">
        <v>16</v>
      </c>
      <c r="AI1" s="1136"/>
      <c r="AJ1" s="1136"/>
      <c r="AK1" s="1136"/>
      <c r="AL1" s="1136"/>
      <c r="AM1" s="1136"/>
      <c r="AN1" s="1139" t="s">
        <v>17</v>
      </c>
      <c r="AO1" s="1130"/>
      <c r="AP1" s="1130"/>
      <c r="AQ1" s="1130"/>
      <c r="AR1" s="1130"/>
      <c r="AS1" s="1131"/>
      <c r="AT1" s="1135" t="s">
        <v>18</v>
      </c>
      <c r="AU1" s="1136"/>
      <c r="AV1" s="1136"/>
      <c r="AW1" s="1136"/>
      <c r="AX1" s="1136"/>
      <c r="AY1" s="1136"/>
      <c r="AZ1" s="1139" t="s">
        <v>19</v>
      </c>
      <c r="BA1" s="1130"/>
      <c r="BB1" s="1130"/>
      <c r="BC1" s="1130"/>
      <c r="BD1" s="1130"/>
      <c r="BE1" s="1131"/>
      <c r="BF1" s="1135" t="s">
        <v>20</v>
      </c>
      <c r="BG1" s="1136"/>
      <c r="BH1" s="1136"/>
      <c r="BI1" s="1136"/>
      <c r="BJ1" s="1136"/>
      <c r="BK1" s="1136"/>
      <c r="BL1" s="1139" t="s">
        <v>21</v>
      </c>
      <c r="BM1" s="1130"/>
      <c r="BN1" s="1130"/>
      <c r="BO1" s="1130"/>
      <c r="BP1" s="1130"/>
      <c r="BQ1" s="1131"/>
      <c r="BR1" s="1135" t="s">
        <v>23</v>
      </c>
      <c r="BS1" s="1136"/>
      <c r="BT1" s="1136"/>
      <c r="BU1" s="1136"/>
      <c r="BV1" s="1136"/>
      <c r="BW1" s="1136"/>
      <c r="BX1" s="1139" t="s">
        <v>24</v>
      </c>
      <c r="BY1" s="1130"/>
      <c r="BZ1" s="1130"/>
      <c r="CA1" s="1130"/>
      <c r="CB1" s="1130"/>
      <c r="CC1" s="1131"/>
      <c r="CD1" s="1135" t="s">
        <v>22</v>
      </c>
      <c r="CE1" s="1136"/>
      <c r="CF1" s="1136"/>
      <c r="CG1" s="1136"/>
      <c r="CH1" s="1136"/>
      <c r="CI1" s="1136"/>
    </row>
    <row r="2" spans="1:87" ht="12.75" customHeight="1" x14ac:dyDescent="0.2">
      <c r="A2" s="1073"/>
      <c r="B2" s="1073"/>
      <c r="C2" s="1073"/>
      <c r="D2" s="1087"/>
      <c r="E2" s="1087"/>
      <c r="F2" s="1086"/>
      <c r="G2" s="1086"/>
      <c r="H2" s="1085"/>
      <c r="I2" s="1085"/>
      <c r="J2" s="1084"/>
      <c r="K2" s="1084"/>
      <c r="L2" s="1084"/>
      <c r="M2" s="1084"/>
      <c r="N2" s="1082"/>
      <c r="O2" s="1083"/>
      <c r="P2" s="1132"/>
      <c r="Q2" s="1133"/>
      <c r="R2" s="1133"/>
      <c r="S2" s="1133"/>
      <c r="T2" s="1133"/>
      <c r="U2" s="1134"/>
      <c r="V2" s="1137"/>
      <c r="W2" s="1138"/>
      <c r="X2" s="1138"/>
      <c r="Y2" s="1138"/>
      <c r="Z2" s="1138"/>
      <c r="AA2" s="1138"/>
      <c r="AB2" s="1140"/>
      <c r="AC2" s="1133"/>
      <c r="AD2" s="1133"/>
      <c r="AE2" s="1133"/>
      <c r="AF2" s="1133"/>
      <c r="AG2" s="1134"/>
      <c r="AH2" s="1137"/>
      <c r="AI2" s="1138"/>
      <c r="AJ2" s="1138"/>
      <c r="AK2" s="1138"/>
      <c r="AL2" s="1138"/>
      <c r="AM2" s="1138"/>
      <c r="AN2" s="1140"/>
      <c r="AO2" s="1133"/>
      <c r="AP2" s="1133"/>
      <c r="AQ2" s="1133"/>
      <c r="AR2" s="1133"/>
      <c r="AS2" s="1134"/>
      <c r="AT2" s="1137"/>
      <c r="AU2" s="1138"/>
      <c r="AV2" s="1138"/>
      <c r="AW2" s="1138"/>
      <c r="AX2" s="1138"/>
      <c r="AY2" s="1138"/>
      <c r="AZ2" s="1140"/>
      <c r="BA2" s="1133"/>
      <c r="BB2" s="1133"/>
      <c r="BC2" s="1133"/>
      <c r="BD2" s="1133"/>
      <c r="BE2" s="1134"/>
      <c r="BF2" s="1137"/>
      <c r="BG2" s="1138"/>
      <c r="BH2" s="1138"/>
      <c r="BI2" s="1138"/>
      <c r="BJ2" s="1138"/>
      <c r="BK2" s="1138"/>
      <c r="BL2" s="1140"/>
      <c r="BM2" s="1133"/>
      <c r="BN2" s="1133"/>
      <c r="BO2" s="1133"/>
      <c r="BP2" s="1133"/>
      <c r="BQ2" s="1134"/>
      <c r="BR2" s="1137"/>
      <c r="BS2" s="1138"/>
      <c r="BT2" s="1138"/>
      <c r="BU2" s="1138"/>
      <c r="BV2" s="1138"/>
      <c r="BW2" s="1138"/>
      <c r="BX2" s="1140"/>
      <c r="BY2" s="1133"/>
      <c r="BZ2" s="1133"/>
      <c r="CA2" s="1133"/>
      <c r="CB2" s="1133"/>
      <c r="CC2" s="1134"/>
      <c r="CD2" s="1137"/>
      <c r="CE2" s="1138"/>
      <c r="CF2" s="1138"/>
      <c r="CG2" s="1138"/>
      <c r="CH2" s="1138"/>
      <c r="CI2" s="1138"/>
    </row>
    <row r="3" spans="1:87" ht="15" customHeight="1" x14ac:dyDescent="0.2">
      <c r="A3" s="1088" t="s">
        <v>333</v>
      </c>
      <c r="B3" s="1088"/>
      <c r="C3" s="1088"/>
      <c r="D3" s="1096">
        <f>IF(ISERROR(E9/D9),0,E9/D9)</f>
        <v>0</v>
      </c>
      <c r="E3" s="1097"/>
      <c r="F3" s="1097">
        <f>IF(ISERROR(G9/F9),0,G9/F9)</f>
        <v>0</v>
      </c>
      <c r="G3" s="1097"/>
      <c r="H3" s="1097">
        <f>IF(ISERROR(I9/H9),0,I9/H9)</f>
        <v>0</v>
      </c>
      <c r="I3" s="1097"/>
      <c r="J3" s="1097">
        <f>IF(ISERROR(K9/J9),0,K9/J9)</f>
        <v>0</v>
      </c>
      <c r="K3" s="1097"/>
      <c r="L3" s="1097">
        <f>IF(ISERROR(M9/L9),0,M9/L9)</f>
        <v>0</v>
      </c>
      <c r="M3" s="1097"/>
      <c r="N3" s="1097">
        <f>IF(ISERROR(O9/N9),0,O9/N9)</f>
        <v>0</v>
      </c>
      <c r="O3" s="1098"/>
      <c r="P3" s="1119" t="s">
        <v>340</v>
      </c>
      <c r="Q3" s="1120"/>
      <c r="R3" s="1120"/>
      <c r="S3" s="968">
        <v>0</v>
      </c>
      <c r="T3" s="968"/>
      <c r="U3" s="443"/>
      <c r="V3" s="1108" t="s">
        <v>340</v>
      </c>
      <c r="W3" s="1108"/>
      <c r="X3" s="1108"/>
      <c r="Y3" s="968">
        <v>0</v>
      </c>
      <c r="Z3" s="968"/>
      <c r="AA3" s="443"/>
      <c r="AB3" s="1144" t="s">
        <v>340</v>
      </c>
      <c r="AC3" s="1108"/>
      <c r="AD3" s="1108"/>
      <c r="AE3" s="968">
        <v>0</v>
      </c>
      <c r="AF3" s="968"/>
      <c r="AG3" s="443"/>
      <c r="AH3" s="1108" t="s">
        <v>340</v>
      </c>
      <c r="AI3" s="1108"/>
      <c r="AJ3" s="1108"/>
      <c r="AK3" s="968">
        <v>0</v>
      </c>
      <c r="AL3" s="968"/>
      <c r="AM3" s="443"/>
      <c r="AN3" s="1108" t="s">
        <v>340</v>
      </c>
      <c r="AO3" s="1108"/>
      <c r="AP3" s="1108"/>
      <c r="AQ3" s="968">
        <v>0</v>
      </c>
      <c r="AR3" s="968"/>
      <c r="AS3" s="443"/>
      <c r="AT3" s="1108" t="s">
        <v>340</v>
      </c>
      <c r="AU3" s="1108"/>
      <c r="AV3" s="1108"/>
      <c r="AW3" s="968">
        <v>0</v>
      </c>
      <c r="AX3" s="968"/>
      <c r="AY3" s="443"/>
      <c r="AZ3" s="1108" t="s">
        <v>340</v>
      </c>
      <c r="BA3" s="1108"/>
      <c r="BB3" s="1108"/>
      <c r="BC3" s="968">
        <v>0</v>
      </c>
      <c r="BD3" s="968"/>
      <c r="BE3" s="443"/>
      <c r="BF3" s="1108" t="s">
        <v>340</v>
      </c>
      <c r="BG3" s="1108"/>
      <c r="BH3" s="1108"/>
      <c r="BI3" s="968">
        <v>0</v>
      </c>
      <c r="BJ3" s="968"/>
      <c r="BK3" s="443"/>
      <c r="BL3" s="1108" t="s">
        <v>340</v>
      </c>
      <c r="BM3" s="1108"/>
      <c r="BN3" s="1108"/>
      <c r="BO3" s="968">
        <v>0</v>
      </c>
      <c r="BP3" s="968"/>
      <c r="BQ3" s="443"/>
      <c r="BR3" s="1108" t="s">
        <v>340</v>
      </c>
      <c r="BS3" s="1108"/>
      <c r="BT3" s="1108"/>
      <c r="BU3" s="968">
        <v>0</v>
      </c>
      <c r="BV3" s="968"/>
      <c r="BW3" s="443"/>
      <c r="BX3" s="1108" t="s">
        <v>340</v>
      </c>
      <c r="BY3" s="1108"/>
      <c r="BZ3" s="1108"/>
      <c r="CA3" s="968">
        <v>0</v>
      </c>
      <c r="CB3" s="968"/>
      <c r="CC3" s="443"/>
      <c r="CD3" s="1108" t="s">
        <v>340</v>
      </c>
      <c r="CE3" s="1108"/>
      <c r="CF3" s="1108"/>
      <c r="CG3" s="968">
        <v>0</v>
      </c>
      <c r="CH3" s="968"/>
      <c r="CI3" s="156"/>
    </row>
    <row r="4" spans="1:87" s="156" customFormat="1" ht="15" customHeight="1" x14ac:dyDescent="0.2">
      <c r="A4" s="1089" t="s">
        <v>331</v>
      </c>
      <c r="B4" s="1089"/>
      <c r="C4" s="1089"/>
      <c r="D4" s="1099">
        <f>P9+V9+AB9+AH9+AN9+AT9</f>
        <v>0</v>
      </c>
      <c r="E4" s="1100"/>
      <c r="F4" s="1101">
        <f>R9+X9+AD9+AJ9+AP9+AV9</f>
        <v>0</v>
      </c>
      <c r="G4" s="1101"/>
      <c r="H4" s="1101">
        <f>Q9+W9+AC9+AI9+AO9+AU9</f>
        <v>0</v>
      </c>
      <c r="I4" s="1101"/>
      <c r="J4" s="1101">
        <f>S9+Y9+AE9+AK9+AQ9+AW9</f>
        <v>0</v>
      </c>
      <c r="K4" s="1101"/>
      <c r="L4" s="1101">
        <f>T9+Z9+AF9+AL9+AR9+AX9</f>
        <v>0</v>
      </c>
      <c r="M4" s="1101"/>
      <c r="N4" s="1101">
        <f>U9+AA9+AG9+AM9+AS9+AY9</f>
        <v>0</v>
      </c>
      <c r="O4" s="1102"/>
      <c r="P4" s="1121" t="s">
        <v>341</v>
      </c>
      <c r="Q4" s="1107"/>
      <c r="R4" s="1107"/>
      <c r="S4" s="968">
        <v>0</v>
      </c>
      <c r="T4" s="968"/>
      <c r="U4" s="399"/>
      <c r="V4" s="1107" t="s">
        <v>341</v>
      </c>
      <c r="W4" s="1107"/>
      <c r="X4" s="1107"/>
      <c r="Y4" s="968">
        <v>0</v>
      </c>
      <c r="Z4" s="968"/>
      <c r="AA4" s="399"/>
      <c r="AB4" s="1145" t="s">
        <v>341</v>
      </c>
      <c r="AC4" s="1107"/>
      <c r="AD4" s="1107"/>
      <c r="AE4" s="968">
        <v>0</v>
      </c>
      <c r="AF4" s="968"/>
      <c r="AG4" s="806"/>
      <c r="AH4" s="1107" t="s">
        <v>341</v>
      </c>
      <c r="AI4" s="1107"/>
      <c r="AJ4" s="1107"/>
      <c r="AK4" s="968">
        <v>0</v>
      </c>
      <c r="AL4" s="968"/>
      <c r="AM4" s="399"/>
      <c r="AN4" s="1107" t="s">
        <v>341</v>
      </c>
      <c r="AO4" s="1107"/>
      <c r="AP4" s="1107"/>
      <c r="AQ4" s="968">
        <v>0</v>
      </c>
      <c r="AR4" s="968"/>
      <c r="AS4" s="399"/>
      <c r="AT4" s="1107" t="s">
        <v>341</v>
      </c>
      <c r="AU4" s="1107"/>
      <c r="AV4" s="1107"/>
      <c r="AW4" s="968">
        <v>0</v>
      </c>
      <c r="AX4" s="968"/>
      <c r="AY4" s="399"/>
      <c r="AZ4" s="1107" t="s">
        <v>341</v>
      </c>
      <c r="BA4" s="1107"/>
      <c r="BB4" s="1107"/>
      <c r="BC4" s="968">
        <v>0</v>
      </c>
      <c r="BD4" s="968"/>
      <c r="BE4" s="399"/>
      <c r="BF4" s="1107" t="s">
        <v>341</v>
      </c>
      <c r="BG4" s="1107"/>
      <c r="BH4" s="1107"/>
      <c r="BI4" s="968">
        <v>0</v>
      </c>
      <c r="BJ4" s="968"/>
      <c r="BK4" s="399"/>
      <c r="BL4" s="1107" t="s">
        <v>341</v>
      </c>
      <c r="BM4" s="1107"/>
      <c r="BN4" s="1107"/>
      <c r="BO4" s="968">
        <v>0</v>
      </c>
      <c r="BP4" s="968"/>
      <c r="BQ4" s="399"/>
      <c r="BR4" s="1107" t="s">
        <v>341</v>
      </c>
      <c r="BS4" s="1107"/>
      <c r="BT4" s="1107"/>
      <c r="BU4" s="968">
        <v>0</v>
      </c>
      <c r="BV4" s="968"/>
      <c r="BW4" s="399"/>
      <c r="BX4" s="1107" t="s">
        <v>341</v>
      </c>
      <c r="BY4" s="1107"/>
      <c r="BZ4" s="1107"/>
      <c r="CA4" s="968">
        <v>0</v>
      </c>
      <c r="CB4" s="968"/>
      <c r="CC4" s="399"/>
      <c r="CD4" s="1107" t="s">
        <v>341</v>
      </c>
      <c r="CE4" s="1107"/>
      <c r="CF4" s="1107"/>
      <c r="CG4" s="968">
        <v>0</v>
      </c>
      <c r="CH4" s="968"/>
    </row>
    <row r="5" spans="1:87" ht="15" customHeight="1" x14ac:dyDescent="0.2">
      <c r="A5" s="1090" t="s">
        <v>332</v>
      </c>
      <c r="B5" s="1090"/>
      <c r="C5" s="1090"/>
      <c r="D5" s="1106">
        <f>AZ9+BF9+BL9+BR9+BX9+CD9</f>
        <v>0</v>
      </c>
      <c r="E5" s="1106"/>
      <c r="F5" s="1103">
        <f>BB9+BH9+BN9+BT9+BZ9+CF9</f>
        <v>0</v>
      </c>
      <c r="G5" s="1104"/>
      <c r="H5" s="1103">
        <f>BA9+BG9+BM9+BS9+BY9+CE9</f>
        <v>0</v>
      </c>
      <c r="I5" s="1104"/>
      <c r="J5" s="1103">
        <f>BC9+BI9+BO9+BU9+CA9+CG9</f>
        <v>0</v>
      </c>
      <c r="K5" s="1104"/>
      <c r="L5" s="1103">
        <f>BD9+BJ9+BP9+BV9+CB9+CH9</f>
        <v>0</v>
      </c>
      <c r="M5" s="1104"/>
      <c r="N5" s="1103">
        <f>BE9+BK9+BQ9+BW9+CC9+CI9</f>
        <v>0</v>
      </c>
      <c r="O5" s="1104"/>
      <c r="P5" s="1122" t="s">
        <v>342</v>
      </c>
      <c r="Q5" s="1123"/>
      <c r="R5" s="1123"/>
      <c r="S5" s="968">
        <v>0</v>
      </c>
      <c r="T5" s="968"/>
      <c r="U5" s="443"/>
      <c r="V5" s="1123" t="s">
        <v>342</v>
      </c>
      <c r="W5" s="1123"/>
      <c r="X5" s="1123"/>
      <c r="Y5" s="968">
        <v>0</v>
      </c>
      <c r="Z5" s="968"/>
      <c r="AB5" s="1146" t="s">
        <v>342</v>
      </c>
      <c r="AC5" s="1123"/>
      <c r="AD5" s="1123"/>
      <c r="AE5" s="968">
        <v>0</v>
      </c>
      <c r="AF5" s="968"/>
      <c r="AG5" s="443"/>
      <c r="AH5" s="1123" t="s">
        <v>342</v>
      </c>
      <c r="AI5" s="1123"/>
      <c r="AJ5" s="1123"/>
      <c r="AK5" s="968">
        <v>0</v>
      </c>
      <c r="AL5" s="968"/>
      <c r="AN5" s="1123" t="s">
        <v>342</v>
      </c>
      <c r="AO5" s="1123"/>
      <c r="AP5" s="1123"/>
      <c r="AQ5" s="968">
        <v>0</v>
      </c>
      <c r="AR5" s="968"/>
      <c r="AS5" s="443"/>
      <c r="AT5" s="1123" t="s">
        <v>342</v>
      </c>
      <c r="AU5" s="1123"/>
      <c r="AV5" s="1123"/>
      <c r="AW5" s="968">
        <v>0</v>
      </c>
      <c r="AX5" s="968"/>
      <c r="AZ5" s="1123" t="s">
        <v>342</v>
      </c>
      <c r="BA5" s="1123"/>
      <c r="BB5" s="1123"/>
      <c r="BC5" s="968">
        <v>0</v>
      </c>
      <c r="BD5" s="968"/>
      <c r="BE5" s="443"/>
      <c r="BF5" s="1123" t="s">
        <v>342</v>
      </c>
      <c r="BG5" s="1123"/>
      <c r="BH5" s="1123"/>
      <c r="BI5" s="968">
        <v>0</v>
      </c>
      <c r="BJ5" s="968"/>
      <c r="BL5" s="1123" t="s">
        <v>342</v>
      </c>
      <c r="BM5" s="1123"/>
      <c r="BN5" s="1123"/>
      <c r="BO5" s="968">
        <v>0</v>
      </c>
      <c r="BP5" s="968"/>
      <c r="BQ5" s="443"/>
      <c r="BR5" s="1123" t="s">
        <v>342</v>
      </c>
      <c r="BS5" s="1123"/>
      <c r="BT5" s="1123"/>
      <c r="BU5" s="968">
        <v>0</v>
      </c>
      <c r="BV5" s="968"/>
      <c r="BX5" s="1123" t="s">
        <v>342</v>
      </c>
      <c r="BY5" s="1123"/>
      <c r="BZ5" s="1123"/>
      <c r="CA5" s="968">
        <v>0</v>
      </c>
      <c r="CB5" s="968"/>
      <c r="CC5" s="443"/>
      <c r="CD5" s="1123" t="s">
        <v>342</v>
      </c>
      <c r="CE5" s="1123"/>
      <c r="CF5" s="1123"/>
      <c r="CG5" s="968">
        <v>0</v>
      </c>
      <c r="CH5" s="968"/>
    </row>
    <row r="6" spans="1:87" x14ac:dyDescent="0.2">
      <c r="C6" s="82"/>
      <c r="D6" s="8"/>
      <c r="E6" s="64"/>
      <c r="F6" s="378"/>
      <c r="G6" s="379"/>
      <c r="H6" s="380"/>
      <c r="I6" s="381"/>
      <c r="J6" s="382"/>
      <c r="K6" s="381"/>
      <c r="L6" s="382"/>
      <c r="M6" s="381"/>
      <c r="N6" s="382"/>
      <c r="O6" s="383"/>
      <c r="P6" s="1113" t="s">
        <v>324</v>
      </c>
      <c r="Q6" s="1114"/>
      <c r="R6" s="1115"/>
      <c r="S6" s="1109" t="s">
        <v>149</v>
      </c>
      <c r="T6" s="1110"/>
      <c r="U6" s="338" t="s">
        <v>157</v>
      </c>
      <c r="V6" s="1109" t="s">
        <v>324</v>
      </c>
      <c r="W6" s="1143"/>
      <c r="X6" s="1110"/>
      <c r="Y6" s="1141" t="s">
        <v>149</v>
      </c>
      <c r="Z6" s="1115"/>
      <c r="AA6" s="84" t="s">
        <v>157</v>
      </c>
      <c r="AB6" s="1141" t="s">
        <v>324</v>
      </c>
      <c r="AC6" s="1114"/>
      <c r="AD6" s="1115"/>
      <c r="AE6" s="1109" t="s">
        <v>149</v>
      </c>
      <c r="AF6" s="1110"/>
      <c r="AG6" s="338" t="s">
        <v>157</v>
      </c>
      <c r="AH6" s="1109" t="s">
        <v>324</v>
      </c>
      <c r="AI6" s="1143"/>
      <c r="AJ6" s="1110"/>
      <c r="AK6" s="1141" t="s">
        <v>149</v>
      </c>
      <c r="AL6" s="1115"/>
      <c r="AM6" s="84" t="s">
        <v>157</v>
      </c>
      <c r="AN6" s="1113" t="s">
        <v>324</v>
      </c>
      <c r="AO6" s="1114"/>
      <c r="AP6" s="1115"/>
      <c r="AQ6" s="1109" t="s">
        <v>149</v>
      </c>
      <c r="AR6" s="1110"/>
      <c r="AS6" s="338" t="s">
        <v>157</v>
      </c>
      <c r="AT6" s="1109" t="s">
        <v>324</v>
      </c>
      <c r="AU6" s="1143"/>
      <c r="AV6" s="1110"/>
      <c r="AW6" s="1141" t="s">
        <v>149</v>
      </c>
      <c r="AX6" s="1115"/>
      <c r="AY6" s="84" t="s">
        <v>157</v>
      </c>
      <c r="AZ6" s="1113" t="s">
        <v>324</v>
      </c>
      <c r="BA6" s="1114"/>
      <c r="BB6" s="1115"/>
      <c r="BC6" s="1109" t="s">
        <v>149</v>
      </c>
      <c r="BD6" s="1110"/>
      <c r="BE6" s="338" t="s">
        <v>157</v>
      </c>
      <c r="BF6" s="1109" t="s">
        <v>324</v>
      </c>
      <c r="BG6" s="1143"/>
      <c r="BH6" s="1110"/>
      <c r="BI6" s="1141" t="s">
        <v>149</v>
      </c>
      <c r="BJ6" s="1115"/>
      <c r="BK6" s="84" t="s">
        <v>157</v>
      </c>
      <c r="BL6" s="1113" t="s">
        <v>324</v>
      </c>
      <c r="BM6" s="1114"/>
      <c r="BN6" s="1115"/>
      <c r="BO6" s="1109" t="s">
        <v>149</v>
      </c>
      <c r="BP6" s="1110"/>
      <c r="BQ6" s="338" t="s">
        <v>157</v>
      </c>
      <c r="BR6" s="1109" t="s">
        <v>324</v>
      </c>
      <c r="BS6" s="1143"/>
      <c r="BT6" s="1110"/>
      <c r="BU6" s="1141" t="s">
        <v>149</v>
      </c>
      <c r="BV6" s="1115"/>
      <c r="BW6" s="84" t="s">
        <v>157</v>
      </c>
      <c r="BX6" s="1113" t="s">
        <v>324</v>
      </c>
      <c r="BY6" s="1114"/>
      <c r="BZ6" s="1115"/>
      <c r="CA6" s="1109" t="s">
        <v>149</v>
      </c>
      <c r="CB6" s="1110"/>
      <c r="CC6" s="338" t="s">
        <v>157</v>
      </c>
      <c r="CD6" s="1109" t="s">
        <v>324</v>
      </c>
      <c r="CE6" s="1143"/>
      <c r="CF6" s="1110"/>
      <c r="CG6" s="1141" t="s">
        <v>149</v>
      </c>
      <c r="CH6" s="1115"/>
      <c r="CI6" s="84" t="s">
        <v>157</v>
      </c>
    </row>
    <row r="7" spans="1:87" s="14" customFormat="1" ht="12" customHeight="1" x14ac:dyDescent="0.2">
      <c r="A7" s="1091"/>
      <c r="B7" s="1091"/>
      <c r="C7" s="1092"/>
      <c r="D7" s="1105" t="s">
        <v>334</v>
      </c>
      <c r="E7" s="1105" t="s">
        <v>335</v>
      </c>
      <c r="F7" s="1093" t="s">
        <v>334</v>
      </c>
      <c r="G7" s="1093" t="s">
        <v>335</v>
      </c>
      <c r="H7" s="1105" t="s">
        <v>336</v>
      </c>
      <c r="I7" s="1105" t="s">
        <v>335</v>
      </c>
      <c r="J7" s="1093" t="s">
        <v>334</v>
      </c>
      <c r="K7" s="1093" t="s">
        <v>335</v>
      </c>
      <c r="L7" s="1093" t="s">
        <v>336</v>
      </c>
      <c r="M7" s="1093" t="s">
        <v>335</v>
      </c>
      <c r="N7" s="1094" t="s">
        <v>337</v>
      </c>
      <c r="O7" s="1095" t="s">
        <v>335</v>
      </c>
      <c r="P7" s="1142">
        <f>SUM(P9:R9)</f>
        <v>0</v>
      </c>
      <c r="Q7" s="1117"/>
      <c r="R7" s="1118"/>
      <c r="S7" s="1111">
        <f>SUM(S9:T9)</f>
        <v>0</v>
      </c>
      <c r="T7" s="1112"/>
      <c r="U7" s="339">
        <f>U9</f>
        <v>0</v>
      </c>
      <c r="V7" s="1116">
        <f>SUM(V9:X9)</f>
        <v>0</v>
      </c>
      <c r="W7" s="1117"/>
      <c r="X7" s="1118"/>
      <c r="Y7" s="1111">
        <f>SUM(Y9:Z9)</f>
        <v>0</v>
      </c>
      <c r="Z7" s="1112"/>
      <c r="AA7" s="85">
        <f>AA9</f>
        <v>0</v>
      </c>
      <c r="AB7" s="1116">
        <f>SUM(AB9:AD9)</f>
        <v>0</v>
      </c>
      <c r="AC7" s="1117"/>
      <c r="AD7" s="1118"/>
      <c r="AE7" s="1111">
        <f>SUM(AE9:AF9)</f>
        <v>0</v>
      </c>
      <c r="AF7" s="1112"/>
      <c r="AG7" s="339">
        <f>AG9</f>
        <v>0</v>
      </c>
      <c r="AH7" s="1116">
        <f>SUM(AH9:AJ9)</f>
        <v>0</v>
      </c>
      <c r="AI7" s="1117"/>
      <c r="AJ7" s="1118"/>
      <c r="AK7" s="1111">
        <f>SUM(AK9:AL9)</f>
        <v>0</v>
      </c>
      <c r="AL7" s="1112"/>
      <c r="AM7" s="85">
        <f>AM9</f>
        <v>0</v>
      </c>
      <c r="AN7" s="1116">
        <f>SUM(AN9:AP9)</f>
        <v>0</v>
      </c>
      <c r="AO7" s="1117"/>
      <c r="AP7" s="1118"/>
      <c r="AQ7" s="1111">
        <f>SUM(AQ9:AR9)</f>
        <v>0</v>
      </c>
      <c r="AR7" s="1112"/>
      <c r="AS7" s="339">
        <f>AS9</f>
        <v>0</v>
      </c>
      <c r="AT7" s="1116">
        <f>SUM(AT9:AV9)</f>
        <v>0</v>
      </c>
      <c r="AU7" s="1117"/>
      <c r="AV7" s="1118"/>
      <c r="AW7" s="1111">
        <f>SUM(AW9:AX9)</f>
        <v>0</v>
      </c>
      <c r="AX7" s="1112"/>
      <c r="AY7" s="85">
        <f>AY9</f>
        <v>0</v>
      </c>
      <c r="AZ7" s="1116">
        <f>SUM(AZ9:BB9)</f>
        <v>0</v>
      </c>
      <c r="BA7" s="1117"/>
      <c r="BB7" s="1118"/>
      <c r="BC7" s="1111">
        <f>SUM(BC9:BD9)</f>
        <v>0</v>
      </c>
      <c r="BD7" s="1112"/>
      <c r="BE7" s="339">
        <f>BE9</f>
        <v>0</v>
      </c>
      <c r="BF7" s="1116">
        <f>SUM(BF9:BH9)</f>
        <v>0</v>
      </c>
      <c r="BG7" s="1117"/>
      <c r="BH7" s="1118"/>
      <c r="BI7" s="1111">
        <f>SUM(BI9:BJ9)</f>
        <v>0</v>
      </c>
      <c r="BJ7" s="1112"/>
      <c r="BK7" s="85">
        <f>BK9</f>
        <v>0</v>
      </c>
      <c r="BL7" s="1116">
        <f>SUM(BL9:BN9)</f>
        <v>0</v>
      </c>
      <c r="BM7" s="1117"/>
      <c r="BN7" s="1118"/>
      <c r="BO7" s="1111">
        <f>SUM(BO9:BP9)</f>
        <v>0</v>
      </c>
      <c r="BP7" s="1112"/>
      <c r="BQ7" s="339">
        <f>BQ9</f>
        <v>0</v>
      </c>
      <c r="BR7" s="1116">
        <f>SUM(BR9:BT9)</f>
        <v>0</v>
      </c>
      <c r="BS7" s="1117"/>
      <c r="BT7" s="1118"/>
      <c r="BU7" s="1111">
        <f>SUM(BU9:BV9)</f>
        <v>0</v>
      </c>
      <c r="BV7" s="1112"/>
      <c r="BW7" s="85">
        <f>BW9</f>
        <v>0</v>
      </c>
      <c r="BX7" s="1116">
        <f>SUM(BX9:BZ9)</f>
        <v>0</v>
      </c>
      <c r="BY7" s="1117"/>
      <c r="BZ7" s="1118"/>
      <c r="CA7" s="1111">
        <f>SUM(CA9:CB9)</f>
        <v>0</v>
      </c>
      <c r="CB7" s="1112"/>
      <c r="CC7" s="339">
        <f>CC9</f>
        <v>0</v>
      </c>
      <c r="CD7" s="1116">
        <f>SUM(CD9:CF9)</f>
        <v>0</v>
      </c>
      <c r="CE7" s="1117"/>
      <c r="CF7" s="1118"/>
      <c r="CG7" s="1111">
        <f>SUM(CG9:CH9)</f>
        <v>0</v>
      </c>
      <c r="CH7" s="1112"/>
      <c r="CI7" s="85">
        <f>CI9</f>
        <v>0</v>
      </c>
    </row>
    <row r="8" spans="1:87" ht="37.5" customHeight="1" x14ac:dyDescent="0.2">
      <c r="A8" s="1091"/>
      <c r="B8" s="1091"/>
      <c r="C8" s="1092"/>
      <c r="D8" s="1105"/>
      <c r="E8" s="1105"/>
      <c r="F8" s="1093"/>
      <c r="G8" s="1093"/>
      <c r="H8" s="1105"/>
      <c r="I8" s="1105"/>
      <c r="J8" s="1093"/>
      <c r="K8" s="1093"/>
      <c r="L8" s="1093"/>
      <c r="M8" s="1093"/>
      <c r="N8" s="1094"/>
      <c r="O8" s="1095"/>
      <c r="P8" s="340" t="s">
        <v>325</v>
      </c>
      <c r="Q8" s="321" t="s">
        <v>12</v>
      </c>
      <c r="R8" s="323" t="s">
        <v>323</v>
      </c>
      <c r="S8" s="323" t="s">
        <v>155</v>
      </c>
      <c r="T8" s="324" t="s">
        <v>156</v>
      </c>
      <c r="U8" s="341" t="s">
        <v>158</v>
      </c>
      <c r="V8" s="333" t="s">
        <v>11</v>
      </c>
      <c r="W8" s="321" t="s">
        <v>12</v>
      </c>
      <c r="X8" s="324" t="s">
        <v>323</v>
      </c>
      <c r="Y8" s="323" t="s">
        <v>155</v>
      </c>
      <c r="Z8" s="324" t="s">
        <v>156</v>
      </c>
      <c r="AA8" s="327" t="s">
        <v>158</v>
      </c>
      <c r="AB8" s="340" t="s">
        <v>11</v>
      </c>
      <c r="AC8" s="321" t="s">
        <v>12</v>
      </c>
      <c r="AD8" s="324" t="s">
        <v>323</v>
      </c>
      <c r="AE8" s="323" t="s">
        <v>155</v>
      </c>
      <c r="AF8" s="324" t="s">
        <v>156</v>
      </c>
      <c r="AG8" s="341" t="s">
        <v>158</v>
      </c>
      <c r="AH8" s="333" t="s">
        <v>11</v>
      </c>
      <c r="AI8" s="321" t="s">
        <v>12</v>
      </c>
      <c r="AJ8" s="324" t="s">
        <v>323</v>
      </c>
      <c r="AK8" s="323" t="s">
        <v>155</v>
      </c>
      <c r="AL8" s="324" t="s">
        <v>156</v>
      </c>
      <c r="AM8" s="327" t="s">
        <v>158</v>
      </c>
      <c r="AN8" s="340" t="s">
        <v>11</v>
      </c>
      <c r="AO8" s="321" t="s">
        <v>12</v>
      </c>
      <c r="AP8" s="324" t="s">
        <v>323</v>
      </c>
      <c r="AQ8" s="323" t="s">
        <v>155</v>
      </c>
      <c r="AR8" s="324" t="s">
        <v>156</v>
      </c>
      <c r="AS8" s="341" t="s">
        <v>158</v>
      </c>
      <c r="AT8" s="333" t="s">
        <v>11</v>
      </c>
      <c r="AU8" s="321" t="s">
        <v>12</v>
      </c>
      <c r="AV8" s="324" t="s">
        <v>323</v>
      </c>
      <c r="AW8" s="323" t="s">
        <v>155</v>
      </c>
      <c r="AX8" s="324" t="s">
        <v>156</v>
      </c>
      <c r="AY8" s="327" t="s">
        <v>158</v>
      </c>
      <c r="AZ8" s="340" t="s">
        <v>11</v>
      </c>
      <c r="BA8" s="321" t="s">
        <v>12</v>
      </c>
      <c r="BB8" s="324" t="s">
        <v>323</v>
      </c>
      <c r="BC8" s="323" t="s">
        <v>155</v>
      </c>
      <c r="BD8" s="324" t="s">
        <v>156</v>
      </c>
      <c r="BE8" s="341" t="s">
        <v>158</v>
      </c>
      <c r="BF8" s="333" t="s">
        <v>11</v>
      </c>
      <c r="BG8" s="321" t="s">
        <v>12</v>
      </c>
      <c r="BH8" s="324" t="s">
        <v>323</v>
      </c>
      <c r="BI8" s="323" t="s">
        <v>155</v>
      </c>
      <c r="BJ8" s="324" t="s">
        <v>156</v>
      </c>
      <c r="BK8" s="327" t="s">
        <v>158</v>
      </c>
      <c r="BL8" s="340" t="s">
        <v>11</v>
      </c>
      <c r="BM8" s="321" t="s">
        <v>12</v>
      </c>
      <c r="BN8" s="324" t="s">
        <v>323</v>
      </c>
      <c r="BO8" s="323" t="s">
        <v>155</v>
      </c>
      <c r="BP8" s="324" t="s">
        <v>156</v>
      </c>
      <c r="BQ8" s="341" t="s">
        <v>158</v>
      </c>
      <c r="BR8" s="333" t="s">
        <v>11</v>
      </c>
      <c r="BS8" s="321" t="s">
        <v>12</v>
      </c>
      <c r="BT8" s="324" t="s">
        <v>323</v>
      </c>
      <c r="BU8" s="323" t="s">
        <v>155</v>
      </c>
      <c r="BV8" s="324" t="s">
        <v>156</v>
      </c>
      <c r="BW8" s="327" t="s">
        <v>158</v>
      </c>
      <c r="BX8" s="340" t="s">
        <v>11</v>
      </c>
      <c r="BY8" s="321" t="s">
        <v>12</v>
      </c>
      <c r="BZ8" s="324" t="s">
        <v>323</v>
      </c>
      <c r="CA8" s="323" t="s">
        <v>155</v>
      </c>
      <c r="CB8" s="324" t="s">
        <v>156</v>
      </c>
      <c r="CC8" s="341" t="s">
        <v>158</v>
      </c>
      <c r="CD8" s="333" t="s">
        <v>11</v>
      </c>
      <c r="CE8" s="321" t="s">
        <v>12</v>
      </c>
      <c r="CF8" s="324" t="s">
        <v>338</v>
      </c>
      <c r="CG8" s="323" t="s">
        <v>155</v>
      </c>
      <c r="CH8" s="324" t="s">
        <v>156</v>
      </c>
      <c r="CI8" s="327" t="s">
        <v>158</v>
      </c>
    </row>
    <row r="9" spans="1:87" ht="28.5" customHeight="1" x14ac:dyDescent="0.2">
      <c r="B9" s="1126" t="s">
        <v>182</v>
      </c>
      <c r="C9" s="1127"/>
      <c r="D9" s="384">
        <f>SUM(D10:D309)</f>
        <v>0</v>
      </c>
      <c r="E9" s="384">
        <f t="shared" ref="E9:O9" si="0">SUM(E10:E309)</f>
        <v>0</v>
      </c>
      <c r="F9" s="385">
        <f t="shared" si="0"/>
        <v>0</v>
      </c>
      <c r="G9" s="385">
        <f t="shared" si="0"/>
        <v>0</v>
      </c>
      <c r="H9" s="384">
        <f t="shared" si="0"/>
        <v>0</v>
      </c>
      <c r="I9" s="384">
        <f t="shared" si="0"/>
        <v>0</v>
      </c>
      <c r="J9" s="385">
        <f t="shared" si="0"/>
        <v>0</v>
      </c>
      <c r="K9" s="385">
        <f t="shared" si="0"/>
        <v>0</v>
      </c>
      <c r="L9" s="385">
        <f t="shared" si="0"/>
        <v>0</v>
      </c>
      <c r="M9" s="385">
        <f t="shared" si="0"/>
        <v>0</v>
      </c>
      <c r="N9" s="386">
        <f t="shared" si="0"/>
        <v>0</v>
      </c>
      <c r="O9" s="387">
        <f t="shared" si="0"/>
        <v>0</v>
      </c>
      <c r="P9" s="342">
        <f>SUM(P10:P309)</f>
        <v>0</v>
      </c>
      <c r="Q9" s="322">
        <f t="shared" ref="Q9:CI9" si="1">SUM(Q10:Q309)</f>
        <v>0</v>
      </c>
      <c r="R9" s="325">
        <f t="shared" si="1"/>
        <v>0</v>
      </c>
      <c r="S9" s="326">
        <f t="shared" si="1"/>
        <v>0</v>
      </c>
      <c r="T9" s="325">
        <f t="shared" si="1"/>
        <v>0</v>
      </c>
      <c r="U9" s="343">
        <f t="shared" si="1"/>
        <v>0</v>
      </c>
      <c r="V9" s="334">
        <f t="shared" si="1"/>
        <v>0</v>
      </c>
      <c r="W9" s="322">
        <f t="shared" si="1"/>
        <v>0</v>
      </c>
      <c r="X9" s="325">
        <f t="shared" si="1"/>
        <v>0</v>
      </c>
      <c r="Y9" s="326">
        <f t="shared" si="1"/>
        <v>0</v>
      </c>
      <c r="Z9" s="325">
        <f t="shared" si="1"/>
        <v>0</v>
      </c>
      <c r="AA9" s="328">
        <f t="shared" si="1"/>
        <v>0</v>
      </c>
      <c r="AB9" s="342">
        <f t="shared" si="1"/>
        <v>0</v>
      </c>
      <c r="AC9" s="322">
        <f t="shared" si="1"/>
        <v>0</v>
      </c>
      <c r="AD9" s="325">
        <f t="shared" si="1"/>
        <v>0</v>
      </c>
      <c r="AE9" s="326">
        <f t="shared" ref="AE9:AG9" si="2">SUM(AE10:AE309)</f>
        <v>0</v>
      </c>
      <c r="AF9" s="325">
        <f t="shared" si="2"/>
        <v>0</v>
      </c>
      <c r="AG9" s="343">
        <f t="shared" si="2"/>
        <v>0</v>
      </c>
      <c r="AH9" s="334">
        <f t="shared" si="1"/>
        <v>0</v>
      </c>
      <c r="AI9" s="322">
        <f t="shared" si="1"/>
        <v>0</v>
      </c>
      <c r="AJ9" s="325">
        <f t="shared" si="1"/>
        <v>0</v>
      </c>
      <c r="AK9" s="326">
        <f t="shared" si="1"/>
        <v>0</v>
      </c>
      <c r="AL9" s="325">
        <f t="shared" si="1"/>
        <v>0</v>
      </c>
      <c r="AM9" s="328">
        <f t="shared" si="1"/>
        <v>0</v>
      </c>
      <c r="AN9" s="342">
        <f t="shared" si="1"/>
        <v>0</v>
      </c>
      <c r="AO9" s="322">
        <f t="shared" si="1"/>
        <v>0</v>
      </c>
      <c r="AP9" s="325">
        <f t="shared" si="1"/>
        <v>0</v>
      </c>
      <c r="AQ9" s="326">
        <f t="shared" ref="AQ9:AS9" si="3">SUM(AQ10:AQ309)</f>
        <v>0</v>
      </c>
      <c r="AR9" s="325">
        <f t="shared" si="3"/>
        <v>0</v>
      </c>
      <c r="AS9" s="343">
        <f t="shared" si="3"/>
        <v>0</v>
      </c>
      <c r="AT9" s="334">
        <f t="shared" si="1"/>
        <v>0</v>
      </c>
      <c r="AU9" s="322">
        <f t="shared" si="1"/>
        <v>0</v>
      </c>
      <c r="AV9" s="325">
        <f t="shared" si="1"/>
        <v>0</v>
      </c>
      <c r="AW9" s="326">
        <f t="shared" si="1"/>
        <v>0</v>
      </c>
      <c r="AX9" s="325">
        <f t="shared" si="1"/>
        <v>0</v>
      </c>
      <c r="AY9" s="328">
        <f t="shared" si="1"/>
        <v>0</v>
      </c>
      <c r="AZ9" s="342">
        <f t="shared" si="1"/>
        <v>0</v>
      </c>
      <c r="BA9" s="322">
        <f t="shared" si="1"/>
        <v>0</v>
      </c>
      <c r="BB9" s="325">
        <f t="shared" si="1"/>
        <v>0</v>
      </c>
      <c r="BC9" s="326">
        <f t="shared" ref="BC9:BE9" si="4">SUM(BC10:BC309)</f>
        <v>0</v>
      </c>
      <c r="BD9" s="325">
        <f t="shared" si="4"/>
        <v>0</v>
      </c>
      <c r="BE9" s="343">
        <f t="shared" si="4"/>
        <v>0</v>
      </c>
      <c r="BF9" s="334">
        <f t="shared" si="1"/>
        <v>0</v>
      </c>
      <c r="BG9" s="322">
        <f t="shared" si="1"/>
        <v>0</v>
      </c>
      <c r="BH9" s="325">
        <f t="shared" si="1"/>
        <v>0</v>
      </c>
      <c r="BI9" s="326">
        <f t="shared" si="1"/>
        <v>0</v>
      </c>
      <c r="BJ9" s="325">
        <f t="shared" si="1"/>
        <v>0</v>
      </c>
      <c r="BK9" s="328">
        <f t="shared" si="1"/>
        <v>0</v>
      </c>
      <c r="BL9" s="342">
        <f t="shared" si="1"/>
        <v>0</v>
      </c>
      <c r="BM9" s="322">
        <f t="shared" si="1"/>
        <v>0</v>
      </c>
      <c r="BN9" s="325">
        <f t="shared" si="1"/>
        <v>0</v>
      </c>
      <c r="BO9" s="326">
        <f t="shared" ref="BO9:BQ9" si="5">SUM(BO10:BO309)</f>
        <v>0</v>
      </c>
      <c r="BP9" s="325">
        <f t="shared" si="5"/>
        <v>0</v>
      </c>
      <c r="BQ9" s="343">
        <f t="shared" si="5"/>
        <v>0</v>
      </c>
      <c r="BR9" s="334">
        <f t="shared" si="1"/>
        <v>0</v>
      </c>
      <c r="BS9" s="322">
        <f t="shared" si="1"/>
        <v>0</v>
      </c>
      <c r="BT9" s="325">
        <f t="shared" si="1"/>
        <v>0</v>
      </c>
      <c r="BU9" s="326">
        <f t="shared" si="1"/>
        <v>0</v>
      </c>
      <c r="BV9" s="325">
        <f t="shared" si="1"/>
        <v>0</v>
      </c>
      <c r="BW9" s="328">
        <f t="shared" si="1"/>
        <v>0</v>
      </c>
      <c r="BX9" s="342">
        <f t="shared" si="1"/>
        <v>0</v>
      </c>
      <c r="BY9" s="322">
        <f t="shared" si="1"/>
        <v>0</v>
      </c>
      <c r="BZ9" s="325">
        <f t="shared" si="1"/>
        <v>0</v>
      </c>
      <c r="CA9" s="326">
        <f t="shared" ref="CA9:CC9" si="6">SUM(CA10:CA309)</f>
        <v>0</v>
      </c>
      <c r="CB9" s="325">
        <f t="shared" si="6"/>
        <v>0</v>
      </c>
      <c r="CC9" s="343">
        <f t="shared" si="6"/>
        <v>0</v>
      </c>
      <c r="CD9" s="334">
        <f t="shared" si="1"/>
        <v>0</v>
      </c>
      <c r="CE9" s="322">
        <f t="shared" si="1"/>
        <v>0</v>
      </c>
      <c r="CF9" s="325">
        <f t="shared" si="1"/>
        <v>0</v>
      </c>
      <c r="CG9" s="326">
        <f t="shared" si="1"/>
        <v>0</v>
      </c>
      <c r="CH9" s="325">
        <f t="shared" si="1"/>
        <v>0</v>
      </c>
      <c r="CI9" s="328">
        <f t="shared" si="1"/>
        <v>0</v>
      </c>
    </row>
    <row r="10" spans="1:87" x14ac:dyDescent="0.2">
      <c r="A10" s="8">
        <v>1</v>
      </c>
      <c r="B10" s="1128">
        <f>'Membership Record'!B11</f>
        <v>0</v>
      </c>
      <c r="C10" s="1128"/>
      <c r="D10" s="87">
        <f>'Membership Record'!G11+'Membership Record'!P11</f>
        <v>0</v>
      </c>
      <c r="E10" s="350">
        <f>P10+V10+AB10+AH10+AN10+AT10+AZ10+BF10+BL10+BR10+BX10+CD10</f>
        <v>0</v>
      </c>
      <c r="F10" s="614">
        <f>'Membership Record'!H11+'Membership Record'!Q11</f>
        <v>0</v>
      </c>
      <c r="G10" s="615">
        <f>R10+X10+AD10+AJ10+AP10+AV10+BB10+BH10+BN10+BT10+BZ10+CF10</f>
        <v>0</v>
      </c>
      <c r="H10" s="614">
        <f>'Membership Record'!I11+'Membership Record'!R11</f>
        <v>0</v>
      </c>
      <c r="I10" s="615">
        <f>Q10+W10+AC10+AI10+AO10+AU10+BA10+BG10+BM10+BS10+BY10+CE10</f>
        <v>0</v>
      </c>
      <c r="J10" s="614">
        <f>'Membership Record'!J11+'Membership Record'!S11</f>
        <v>0</v>
      </c>
      <c r="K10" s="618">
        <f>S10+Y10+AE10+AK10+AQ10+AW10+BC10+BI10+BO10+BU10+CA10+CG10</f>
        <v>0</v>
      </c>
      <c r="L10" s="618">
        <f>'Membership Record'!K11+'Membership Record'!T11</f>
        <v>0</v>
      </c>
      <c r="M10" s="615">
        <f>T10+Z10+AF10+AL10+AR10+AX10+BD10+BJ10+BP10+BV10+CB10+CH10</f>
        <v>0</v>
      </c>
      <c r="N10" s="614">
        <f>'Membership Record'!L11+'Membership Record'!U11</f>
        <v>0</v>
      </c>
      <c r="O10" s="619">
        <f>U10+AA10+AG10+AM10+AS10+AY10+BE10+BK10+BQ10+BW10+CC10+CI10</f>
        <v>0</v>
      </c>
      <c r="P10" s="344"/>
      <c r="Q10" s="89"/>
      <c r="R10" s="90"/>
      <c r="S10" s="90"/>
      <c r="T10" s="329"/>
      <c r="U10" s="345"/>
      <c r="V10" s="88"/>
      <c r="W10" s="90"/>
      <c r="X10" s="91"/>
      <c r="Y10" s="91"/>
      <c r="Z10" s="91"/>
      <c r="AA10" s="90"/>
      <c r="AB10" s="344"/>
      <c r="AC10" s="89"/>
      <c r="AD10" s="90"/>
      <c r="AE10" s="90"/>
      <c r="AF10" s="329"/>
      <c r="AG10" s="345"/>
      <c r="AH10" s="88"/>
      <c r="AI10" s="90"/>
      <c r="AJ10" s="91"/>
      <c r="AK10" s="91"/>
      <c r="AL10" s="91"/>
      <c r="AM10" s="90"/>
      <c r="AN10" s="344"/>
      <c r="AO10" s="89"/>
      <c r="AP10" s="90"/>
      <c r="AQ10" s="90"/>
      <c r="AR10" s="329"/>
      <c r="AS10" s="345"/>
      <c r="AT10" s="88"/>
      <c r="AU10" s="90"/>
      <c r="AV10" s="91"/>
      <c r="AW10" s="91"/>
      <c r="AX10" s="91"/>
      <c r="AY10" s="90"/>
      <c r="AZ10" s="344"/>
      <c r="BA10" s="89"/>
      <c r="BB10" s="90"/>
      <c r="BC10" s="90"/>
      <c r="BD10" s="329"/>
      <c r="BE10" s="345"/>
      <c r="BF10" s="88"/>
      <c r="BG10" s="90"/>
      <c r="BH10" s="91"/>
      <c r="BI10" s="91"/>
      <c r="BJ10" s="91"/>
      <c r="BK10" s="90"/>
      <c r="BL10" s="344"/>
      <c r="BM10" s="89"/>
      <c r="BN10" s="90"/>
      <c r="BO10" s="90"/>
      <c r="BP10" s="329"/>
      <c r="BQ10" s="345"/>
      <c r="BR10" s="88"/>
      <c r="BS10" s="90"/>
      <c r="BT10" s="91"/>
      <c r="BU10" s="91"/>
      <c r="BV10" s="91"/>
      <c r="BW10" s="90"/>
      <c r="BX10" s="344"/>
      <c r="BY10" s="89"/>
      <c r="BZ10" s="90"/>
      <c r="CA10" s="90"/>
      <c r="CB10" s="329"/>
      <c r="CC10" s="345"/>
      <c r="CD10" s="88"/>
      <c r="CE10" s="90"/>
      <c r="CF10" s="91"/>
      <c r="CG10" s="91"/>
      <c r="CH10" s="91"/>
      <c r="CI10" s="90"/>
    </row>
    <row r="11" spans="1:87" x14ac:dyDescent="0.2">
      <c r="A11" s="8">
        <v>2</v>
      </c>
      <c r="B11" s="1125">
        <f>'Membership Record'!B12</f>
        <v>0</v>
      </c>
      <c r="C11" s="1125"/>
      <c r="D11" s="87">
        <f>'Membership Record'!G12+'Membership Record'!P12</f>
        <v>0</v>
      </c>
      <c r="E11" s="350">
        <f t="shared" ref="E11:E74" si="7">P11+V11+AB11+AH11+AN11+AT11+AZ11+BF11+BL11+BR11+BX11+CD11</f>
        <v>0</v>
      </c>
      <c r="F11" s="614">
        <f>'Membership Record'!H12+'Membership Record'!Q12</f>
        <v>0</v>
      </c>
      <c r="G11" s="615">
        <f t="shared" ref="G11:G74" si="8">R11+X11+AD11+AJ11+AP11+AV11+BB11+BH11+BN11+BT11+BZ11+CF11</f>
        <v>0</v>
      </c>
      <c r="H11" s="614">
        <f>'Membership Record'!I12+'Membership Record'!R12</f>
        <v>0</v>
      </c>
      <c r="I11" s="616">
        <f t="shared" ref="I11:I74" si="9">Q11+W11+AC11+AI11+AO11+AU11+BA11+BG11+BM11+BS11+BY11+CE11</f>
        <v>0</v>
      </c>
      <c r="J11" s="614">
        <f>'Membership Record'!J12+'Membership Record'!S12</f>
        <v>0</v>
      </c>
      <c r="K11" s="618">
        <f t="shared" ref="K11:K74" si="10">S11+Y11+AE11+AK11+AQ11+AW11+BC11+BI11+BO11+BU11+CA11+CG11</f>
        <v>0</v>
      </c>
      <c r="L11" s="618">
        <f>'Membership Record'!K12+'Membership Record'!T12</f>
        <v>0</v>
      </c>
      <c r="M11" s="615">
        <f t="shared" ref="M11:M74" si="11">T11+Z11+AF11+AL11+AR11+AX11+BD11+BJ11+BP11+BV11+CB11+CH11</f>
        <v>0</v>
      </c>
      <c r="N11" s="614">
        <f>'Membership Record'!L12+'Membership Record'!U12</f>
        <v>0</v>
      </c>
      <c r="O11" s="619">
        <f t="shared" ref="O11:O74" si="12">U11+AA11+AG11+AM11+AS11+AY11+BE11+BK11+BQ11+BW11+CC11+CI11</f>
        <v>0</v>
      </c>
      <c r="P11" s="346"/>
      <c r="Q11" s="93"/>
      <c r="R11" s="94"/>
      <c r="S11" s="94"/>
      <c r="T11" s="330"/>
      <c r="U11" s="347"/>
      <c r="V11" s="92"/>
      <c r="W11" s="94"/>
      <c r="X11" s="95"/>
      <c r="Y11" s="95"/>
      <c r="Z11" s="95"/>
      <c r="AA11" s="94"/>
      <c r="AB11" s="346"/>
      <c r="AC11" s="93"/>
      <c r="AD11" s="94"/>
      <c r="AE11" s="94"/>
      <c r="AF11" s="330"/>
      <c r="AG11" s="347"/>
      <c r="AH11" s="88"/>
      <c r="AI11" s="94"/>
      <c r="AJ11" s="95"/>
      <c r="AK11" s="95"/>
      <c r="AL11" s="95"/>
      <c r="AM11" s="90"/>
      <c r="AN11" s="346"/>
      <c r="AO11" s="93"/>
      <c r="AP11" s="94"/>
      <c r="AQ11" s="94"/>
      <c r="AR11" s="330"/>
      <c r="AS11" s="345"/>
      <c r="AT11" s="92"/>
      <c r="AU11" s="94"/>
      <c r="AV11" s="95"/>
      <c r="AW11" s="95"/>
      <c r="AX11" s="95"/>
      <c r="AY11" s="90"/>
      <c r="AZ11" s="346"/>
      <c r="BA11" s="93"/>
      <c r="BB11" s="94"/>
      <c r="BC11" s="94"/>
      <c r="BD11" s="330"/>
      <c r="BE11" s="347"/>
      <c r="BF11" s="92"/>
      <c r="BG11" s="94"/>
      <c r="BH11" s="95"/>
      <c r="BI11" s="95"/>
      <c r="BJ11" s="95"/>
      <c r="BK11" s="94"/>
      <c r="BL11" s="346"/>
      <c r="BM11" s="93"/>
      <c r="BN11" s="94"/>
      <c r="BO11" s="94"/>
      <c r="BP11" s="330"/>
      <c r="BQ11" s="347"/>
      <c r="BR11" s="92"/>
      <c r="BS11" s="94"/>
      <c r="BT11" s="95"/>
      <c r="BU11" s="95"/>
      <c r="BV11" s="95"/>
      <c r="BW11" s="94"/>
      <c r="BX11" s="346"/>
      <c r="BY11" s="93"/>
      <c r="BZ11" s="94"/>
      <c r="CA11" s="94"/>
      <c r="CB11" s="330"/>
      <c r="CC11" s="347"/>
      <c r="CD11" s="92"/>
      <c r="CE11" s="94"/>
      <c r="CF11" s="95"/>
      <c r="CG11" s="95"/>
      <c r="CH11" s="95"/>
      <c r="CI11" s="94"/>
    </row>
    <row r="12" spans="1:87" x14ac:dyDescent="0.2">
      <c r="A12" s="8">
        <v>3</v>
      </c>
      <c r="B12" s="1125">
        <f>'Membership Record'!B13</f>
        <v>0</v>
      </c>
      <c r="C12" s="1125"/>
      <c r="D12" s="87">
        <f>'Membership Record'!G13+'Membership Record'!P13</f>
        <v>0</v>
      </c>
      <c r="E12" s="350">
        <f t="shared" si="7"/>
        <v>0</v>
      </c>
      <c r="F12" s="614">
        <f>'Membership Record'!H13+'Membership Record'!Q13</f>
        <v>0</v>
      </c>
      <c r="G12" s="615">
        <f t="shared" si="8"/>
        <v>0</v>
      </c>
      <c r="H12" s="614">
        <f>'Membership Record'!I13+'Membership Record'!R13</f>
        <v>0</v>
      </c>
      <c r="I12" s="616">
        <f t="shared" si="9"/>
        <v>0</v>
      </c>
      <c r="J12" s="614">
        <f>'Membership Record'!J13+'Membership Record'!S13</f>
        <v>0</v>
      </c>
      <c r="K12" s="618">
        <f t="shared" si="10"/>
        <v>0</v>
      </c>
      <c r="L12" s="618">
        <f>'Membership Record'!K13+'Membership Record'!T13</f>
        <v>0</v>
      </c>
      <c r="M12" s="615">
        <f t="shared" si="11"/>
        <v>0</v>
      </c>
      <c r="N12" s="614">
        <f>'Membership Record'!L13+'Membership Record'!U13</f>
        <v>0</v>
      </c>
      <c r="O12" s="619">
        <f t="shared" si="12"/>
        <v>0</v>
      </c>
      <c r="P12" s="346"/>
      <c r="Q12" s="93"/>
      <c r="R12" s="94"/>
      <c r="S12" s="94"/>
      <c r="T12" s="330"/>
      <c r="U12" s="347"/>
      <c r="V12" s="92"/>
      <c r="W12" s="94"/>
      <c r="X12" s="95"/>
      <c r="Y12" s="95"/>
      <c r="Z12" s="95"/>
      <c r="AA12" s="94"/>
      <c r="AB12" s="346"/>
      <c r="AC12" s="93"/>
      <c r="AD12" s="94"/>
      <c r="AE12" s="94"/>
      <c r="AF12" s="330"/>
      <c r="AG12" s="347"/>
      <c r="AH12" s="88"/>
      <c r="AI12" s="94"/>
      <c r="AJ12" s="95"/>
      <c r="AK12" s="95"/>
      <c r="AL12" s="95"/>
      <c r="AM12" s="90"/>
      <c r="AN12" s="346"/>
      <c r="AO12" s="93"/>
      <c r="AP12" s="94"/>
      <c r="AQ12" s="94"/>
      <c r="AR12" s="330"/>
      <c r="AS12" s="345"/>
      <c r="AT12" s="92"/>
      <c r="AU12" s="94"/>
      <c r="AV12" s="95"/>
      <c r="AW12" s="95"/>
      <c r="AX12" s="95"/>
      <c r="AY12" s="90"/>
      <c r="AZ12" s="346"/>
      <c r="BA12" s="93"/>
      <c r="BB12" s="94"/>
      <c r="BC12" s="94"/>
      <c r="BD12" s="330"/>
      <c r="BE12" s="347"/>
      <c r="BF12" s="92"/>
      <c r="BG12" s="94"/>
      <c r="BH12" s="95"/>
      <c r="BI12" s="95"/>
      <c r="BJ12" s="95"/>
      <c r="BK12" s="94"/>
      <c r="BL12" s="346"/>
      <c r="BM12" s="93"/>
      <c r="BN12" s="94"/>
      <c r="BO12" s="94"/>
      <c r="BP12" s="330"/>
      <c r="BQ12" s="347"/>
      <c r="BR12" s="92"/>
      <c r="BS12" s="94"/>
      <c r="BT12" s="95"/>
      <c r="BU12" s="95"/>
      <c r="BV12" s="95"/>
      <c r="BW12" s="94"/>
      <c r="BX12" s="346"/>
      <c r="BY12" s="93"/>
      <c r="BZ12" s="94"/>
      <c r="CA12" s="94"/>
      <c r="CB12" s="330"/>
      <c r="CC12" s="347"/>
      <c r="CD12" s="92"/>
      <c r="CE12" s="94"/>
      <c r="CF12" s="95"/>
      <c r="CG12" s="95"/>
      <c r="CH12" s="95"/>
      <c r="CI12" s="94"/>
    </row>
    <row r="13" spans="1:87" x14ac:dyDescent="0.2">
      <c r="A13" s="8">
        <v>4</v>
      </c>
      <c r="B13" s="1125">
        <f>'Membership Record'!B14</f>
        <v>0</v>
      </c>
      <c r="C13" s="1125"/>
      <c r="D13" s="87">
        <f>'Membership Record'!G14+'Membership Record'!P14</f>
        <v>0</v>
      </c>
      <c r="E13" s="350">
        <f t="shared" si="7"/>
        <v>0</v>
      </c>
      <c r="F13" s="614">
        <f>'Membership Record'!H14+'Membership Record'!Q14</f>
        <v>0</v>
      </c>
      <c r="G13" s="615">
        <f t="shared" si="8"/>
        <v>0</v>
      </c>
      <c r="H13" s="614">
        <f>'Membership Record'!I14+'Membership Record'!R14</f>
        <v>0</v>
      </c>
      <c r="I13" s="616">
        <f t="shared" si="9"/>
        <v>0</v>
      </c>
      <c r="J13" s="614">
        <f>'Membership Record'!J14+'Membership Record'!S14</f>
        <v>0</v>
      </c>
      <c r="K13" s="618">
        <f t="shared" si="10"/>
        <v>0</v>
      </c>
      <c r="L13" s="618">
        <f>'Membership Record'!K14+'Membership Record'!T14</f>
        <v>0</v>
      </c>
      <c r="M13" s="615">
        <f t="shared" si="11"/>
        <v>0</v>
      </c>
      <c r="N13" s="614">
        <f>'Membership Record'!L14+'Membership Record'!U14</f>
        <v>0</v>
      </c>
      <c r="O13" s="619">
        <f t="shared" si="12"/>
        <v>0</v>
      </c>
      <c r="P13" s="346"/>
      <c r="Q13" s="93"/>
      <c r="R13" s="94"/>
      <c r="S13" s="94"/>
      <c r="T13" s="330"/>
      <c r="U13" s="347"/>
      <c r="V13" s="92"/>
      <c r="W13" s="94"/>
      <c r="X13" s="95"/>
      <c r="Y13" s="95"/>
      <c r="Z13" s="95"/>
      <c r="AA13" s="94"/>
      <c r="AB13" s="346"/>
      <c r="AC13" s="93"/>
      <c r="AD13" s="94"/>
      <c r="AE13" s="94"/>
      <c r="AF13" s="330"/>
      <c r="AG13" s="347"/>
      <c r="AH13" s="88"/>
      <c r="AI13" s="94"/>
      <c r="AJ13" s="95"/>
      <c r="AK13" s="95"/>
      <c r="AL13" s="95"/>
      <c r="AM13" s="94"/>
      <c r="AN13" s="346"/>
      <c r="AO13" s="93"/>
      <c r="AP13" s="94"/>
      <c r="AQ13" s="94"/>
      <c r="AR13" s="330"/>
      <c r="AS13" s="347"/>
      <c r="AT13" s="92"/>
      <c r="AU13" s="94"/>
      <c r="AV13" s="95"/>
      <c r="AW13" s="95"/>
      <c r="AX13" s="95"/>
      <c r="AY13" s="94"/>
      <c r="AZ13" s="346"/>
      <c r="BA13" s="93"/>
      <c r="BB13" s="94"/>
      <c r="BC13" s="94"/>
      <c r="BD13" s="330"/>
      <c r="BE13" s="347"/>
      <c r="BF13" s="92"/>
      <c r="BG13" s="94"/>
      <c r="BH13" s="95"/>
      <c r="BI13" s="95"/>
      <c r="BJ13" s="95"/>
      <c r="BK13" s="94"/>
      <c r="BL13" s="346"/>
      <c r="BM13" s="93"/>
      <c r="BN13" s="94"/>
      <c r="BO13" s="94"/>
      <c r="BP13" s="330"/>
      <c r="BQ13" s="347"/>
      <c r="BR13" s="92"/>
      <c r="BS13" s="94"/>
      <c r="BT13" s="95"/>
      <c r="BU13" s="95"/>
      <c r="BV13" s="95"/>
      <c r="BW13" s="94"/>
      <c r="BX13" s="346"/>
      <c r="BY13" s="93"/>
      <c r="BZ13" s="94"/>
      <c r="CA13" s="94"/>
      <c r="CB13" s="330"/>
      <c r="CC13" s="347"/>
      <c r="CD13" s="92"/>
      <c r="CE13" s="94"/>
      <c r="CF13" s="95"/>
      <c r="CG13" s="95"/>
      <c r="CH13" s="95"/>
      <c r="CI13" s="94"/>
    </row>
    <row r="14" spans="1:87" x14ac:dyDescent="0.2">
      <c r="A14" s="8">
        <v>5</v>
      </c>
      <c r="B14" s="1125">
        <f>'Membership Record'!B15</f>
        <v>0</v>
      </c>
      <c r="C14" s="1125"/>
      <c r="D14" s="87">
        <f>'Membership Record'!G15+'Membership Record'!P15</f>
        <v>0</v>
      </c>
      <c r="E14" s="350">
        <f t="shared" si="7"/>
        <v>0</v>
      </c>
      <c r="F14" s="614">
        <f>'Membership Record'!H15+'Membership Record'!Q15</f>
        <v>0</v>
      </c>
      <c r="G14" s="615">
        <f t="shared" si="8"/>
        <v>0</v>
      </c>
      <c r="H14" s="614">
        <f>'Membership Record'!I15+'Membership Record'!R15</f>
        <v>0</v>
      </c>
      <c r="I14" s="616">
        <f t="shared" si="9"/>
        <v>0</v>
      </c>
      <c r="J14" s="614">
        <f>'Membership Record'!J15+'Membership Record'!S15</f>
        <v>0</v>
      </c>
      <c r="K14" s="618">
        <f t="shared" si="10"/>
        <v>0</v>
      </c>
      <c r="L14" s="618">
        <f>'Membership Record'!K15+'Membership Record'!T15</f>
        <v>0</v>
      </c>
      <c r="M14" s="615">
        <f t="shared" si="11"/>
        <v>0</v>
      </c>
      <c r="N14" s="614">
        <f>'Membership Record'!L15+'Membership Record'!U15</f>
        <v>0</v>
      </c>
      <c r="O14" s="619">
        <f t="shared" si="12"/>
        <v>0</v>
      </c>
      <c r="P14" s="346"/>
      <c r="Q14" s="93"/>
      <c r="R14" s="94"/>
      <c r="S14" s="94"/>
      <c r="T14" s="330"/>
      <c r="U14" s="347"/>
      <c r="V14" s="92"/>
      <c r="W14" s="94"/>
      <c r="X14" s="95"/>
      <c r="Y14" s="95"/>
      <c r="Z14" s="95"/>
      <c r="AA14" s="94"/>
      <c r="AB14" s="346"/>
      <c r="AC14" s="93"/>
      <c r="AD14" s="94"/>
      <c r="AE14" s="94"/>
      <c r="AF14" s="330"/>
      <c r="AG14" s="347"/>
      <c r="AH14" s="88"/>
      <c r="AI14" s="94"/>
      <c r="AJ14" s="95"/>
      <c r="AK14" s="95"/>
      <c r="AL14" s="95"/>
      <c r="AM14" s="90"/>
      <c r="AN14" s="346"/>
      <c r="AO14" s="93"/>
      <c r="AP14" s="94"/>
      <c r="AQ14" s="94"/>
      <c r="AR14" s="330"/>
      <c r="AS14" s="345"/>
      <c r="AT14" s="92"/>
      <c r="AU14" s="94"/>
      <c r="AV14" s="95"/>
      <c r="AW14" s="95"/>
      <c r="AX14" s="95"/>
      <c r="AY14" s="90"/>
      <c r="AZ14" s="346"/>
      <c r="BA14" s="93"/>
      <c r="BB14" s="94"/>
      <c r="BC14" s="94"/>
      <c r="BD14" s="330"/>
      <c r="BE14" s="347"/>
      <c r="BF14" s="92"/>
      <c r="BG14" s="94"/>
      <c r="BH14" s="95"/>
      <c r="BI14" s="95"/>
      <c r="BJ14" s="95"/>
      <c r="BK14" s="94"/>
      <c r="BL14" s="346"/>
      <c r="BM14" s="93"/>
      <c r="BN14" s="94"/>
      <c r="BO14" s="94"/>
      <c r="BP14" s="330"/>
      <c r="BQ14" s="347"/>
      <c r="BR14" s="92"/>
      <c r="BS14" s="94"/>
      <c r="BT14" s="95"/>
      <c r="BU14" s="95"/>
      <c r="BV14" s="95"/>
      <c r="BW14" s="94"/>
      <c r="BX14" s="346"/>
      <c r="BY14" s="93"/>
      <c r="BZ14" s="94"/>
      <c r="CA14" s="94"/>
      <c r="CB14" s="330"/>
      <c r="CC14" s="347"/>
      <c r="CD14" s="92"/>
      <c r="CE14" s="94"/>
      <c r="CF14" s="95"/>
      <c r="CG14" s="95"/>
      <c r="CH14" s="95"/>
      <c r="CI14" s="94"/>
    </row>
    <row r="15" spans="1:87" x14ac:dyDescent="0.2">
      <c r="A15" s="8">
        <v>6</v>
      </c>
      <c r="B15" s="1125">
        <f>'Membership Record'!B16</f>
        <v>0</v>
      </c>
      <c r="C15" s="1125"/>
      <c r="D15" s="87">
        <f>'Membership Record'!G16+'Membership Record'!P16</f>
        <v>0</v>
      </c>
      <c r="E15" s="350">
        <f t="shared" si="7"/>
        <v>0</v>
      </c>
      <c r="F15" s="614">
        <f>'Membership Record'!H16+'Membership Record'!Q16</f>
        <v>0</v>
      </c>
      <c r="G15" s="615">
        <f t="shared" si="8"/>
        <v>0</v>
      </c>
      <c r="H15" s="614">
        <f>'Membership Record'!I16+'Membership Record'!R16</f>
        <v>0</v>
      </c>
      <c r="I15" s="616">
        <f t="shared" si="9"/>
        <v>0</v>
      </c>
      <c r="J15" s="614">
        <f>'Membership Record'!J16+'Membership Record'!S16</f>
        <v>0</v>
      </c>
      <c r="K15" s="618">
        <f t="shared" si="10"/>
        <v>0</v>
      </c>
      <c r="L15" s="618">
        <f>'Membership Record'!K16+'Membership Record'!T16</f>
        <v>0</v>
      </c>
      <c r="M15" s="615">
        <f t="shared" si="11"/>
        <v>0</v>
      </c>
      <c r="N15" s="614">
        <f>'Membership Record'!L16+'Membership Record'!U16</f>
        <v>0</v>
      </c>
      <c r="O15" s="619">
        <f t="shared" si="12"/>
        <v>0</v>
      </c>
      <c r="P15" s="346"/>
      <c r="Q15" s="93"/>
      <c r="R15" s="94"/>
      <c r="S15" s="94"/>
      <c r="T15" s="330"/>
      <c r="U15" s="347"/>
      <c r="V15" s="92"/>
      <c r="W15" s="94"/>
      <c r="X15" s="95"/>
      <c r="Y15" s="95"/>
      <c r="Z15" s="95"/>
      <c r="AA15" s="94"/>
      <c r="AB15" s="346"/>
      <c r="AC15" s="93"/>
      <c r="AD15" s="94"/>
      <c r="AE15" s="94"/>
      <c r="AF15" s="330"/>
      <c r="AG15" s="347"/>
      <c r="AH15" s="88"/>
      <c r="AI15" s="94"/>
      <c r="AJ15" s="95"/>
      <c r="AK15" s="95"/>
      <c r="AL15" s="95"/>
      <c r="AM15" s="90"/>
      <c r="AN15" s="346"/>
      <c r="AO15" s="93"/>
      <c r="AP15" s="94"/>
      <c r="AQ15" s="94"/>
      <c r="AR15" s="330"/>
      <c r="AS15" s="345"/>
      <c r="AT15" s="92"/>
      <c r="AU15" s="94"/>
      <c r="AV15" s="95"/>
      <c r="AW15" s="95"/>
      <c r="AX15" s="95"/>
      <c r="AY15" s="90"/>
      <c r="AZ15" s="346"/>
      <c r="BA15" s="93"/>
      <c r="BB15" s="94"/>
      <c r="BC15" s="94"/>
      <c r="BD15" s="330"/>
      <c r="BE15" s="347"/>
      <c r="BF15" s="92"/>
      <c r="BG15" s="94"/>
      <c r="BH15" s="95"/>
      <c r="BI15" s="95"/>
      <c r="BJ15" s="95"/>
      <c r="BK15" s="94"/>
      <c r="BL15" s="346"/>
      <c r="BM15" s="93"/>
      <c r="BN15" s="94"/>
      <c r="BO15" s="94"/>
      <c r="BP15" s="330"/>
      <c r="BQ15" s="347"/>
      <c r="BR15" s="92"/>
      <c r="BS15" s="94"/>
      <c r="BT15" s="95"/>
      <c r="BU15" s="95"/>
      <c r="BV15" s="95"/>
      <c r="BW15" s="94"/>
      <c r="BX15" s="346"/>
      <c r="BY15" s="93"/>
      <c r="BZ15" s="94"/>
      <c r="CA15" s="94"/>
      <c r="CB15" s="330"/>
      <c r="CC15" s="347"/>
      <c r="CD15" s="92"/>
      <c r="CE15" s="94"/>
      <c r="CF15" s="95"/>
      <c r="CG15" s="95"/>
      <c r="CH15" s="95"/>
      <c r="CI15" s="94"/>
    </row>
    <row r="16" spans="1:87" x14ac:dyDescent="0.2">
      <c r="A16" s="8">
        <v>7</v>
      </c>
      <c r="B16" s="1125">
        <f>'Membership Record'!B17</f>
        <v>0</v>
      </c>
      <c r="C16" s="1125"/>
      <c r="D16" s="87">
        <f>'Membership Record'!G17+'Membership Record'!P17</f>
        <v>0</v>
      </c>
      <c r="E16" s="350">
        <f t="shared" si="7"/>
        <v>0</v>
      </c>
      <c r="F16" s="614">
        <f>'Membership Record'!H17+'Membership Record'!Q17</f>
        <v>0</v>
      </c>
      <c r="G16" s="615">
        <f t="shared" si="8"/>
        <v>0</v>
      </c>
      <c r="H16" s="614">
        <f>'Membership Record'!I17+'Membership Record'!R17</f>
        <v>0</v>
      </c>
      <c r="I16" s="616">
        <f t="shared" si="9"/>
        <v>0</v>
      </c>
      <c r="J16" s="614">
        <f>'Membership Record'!J17+'Membership Record'!S17</f>
        <v>0</v>
      </c>
      <c r="K16" s="618">
        <f t="shared" si="10"/>
        <v>0</v>
      </c>
      <c r="L16" s="618">
        <f>'Membership Record'!K17+'Membership Record'!T17</f>
        <v>0</v>
      </c>
      <c r="M16" s="615">
        <f t="shared" si="11"/>
        <v>0</v>
      </c>
      <c r="N16" s="614">
        <f>'Membership Record'!L17+'Membership Record'!U17</f>
        <v>0</v>
      </c>
      <c r="O16" s="619">
        <f t="shared" si="12"/>
        <v>0</v>
      </c>
      <c r="P16" s="346"/>
      <c r="Q16" s="93"/>
      <c r="R16" s="94"/>
      <c r="S16" s="94"/>
      <c r="T16" s="330"/>
      <c r="U16" s="347"/>
      <c r="V16" s="92"/>
      <c r="W16" s="94"/>
      <c r="X16" s="95"/>
      <c r="Y16" s="95"/>
      <c r="Z16" s="95"/>
      <c r="AA16" s="94"/>
      <c r="AB16" s="346"/>
      <c r="AC16" s="93"/>
      <c r="AD16" s="94"/>
      <c r="AE16" s="94"/>
      <c r="AF16" s="330"/>
      <c r="AG16" s="347"/>
      <c r="AH16" s="88"/>
      <c r="AI16" s="94"/>
      <c r="AJ16" s="95"/>
      <c r="AK16" s="95"/>
      <c r="AL16" s="95"/>
      <c r="AM16" s="94"/>
      <c r="AN16" s="346"/>
      <c r="AO16" s="93"/>
      <c r="AP16" s="94"/>
      <c r="AQ16" s="94"/>
      <c r="AR16" s="330"/>
      <c r="AS16" s="347"/>
      <c r="AT16" s="92"/>
      <c r="AU16" s="94"/>
      <c r="AV16" s="95"/>
      <c r="AW16" s="95"/>
      <c r="AX16" s="95"/>
      <c r="AY16" s="94"/>
      <c r="AZ16" s="346"/>
      <c r="BA16" s="93"/>
      <c r="BB16" s="94"/>
      <c r="BC16" s="94"/>
      <c r="BD16" s="330"/>
      <c r="BE16" s="347"/>
      <c r="BF16" s="92"/>
      <c r="BG16" s="94"/>
      <c r="BH16" s="95"/>
      <c r="BI16" s="95"/>
      <c r="BJ16" s="95"/>
      <c r="BK16" s="94"/>
      <c r="BL16" s="346"/>
      <c r="BM16" s="93"/>
      <c r="BN16" s="94"/>
      <c r="BO16" s="94"/>
      <c r="BP16" s="330"/>
      <c r="BQ16" s="347"/>
      <c r="BR16" s="92"/>
      <c r="BS16" s="94"/>
      <c r="BT16" s="95"/>
      <c r="BU16" s="95"/>
      <c r="BV16" s="95"/>
      <c r="BW16" s="94"/>
      <c r="BX16" s="346"/>
      <c r="BY16" s="93"/>
      <c r="BZ16" s="94"/>
      <c r="CA16" s="94"/>
      <c r="CB16" s="330"/>
      <c r="CC16" s="347"/>
      <c r="CD16" s="92"/>
      <c r="CE16" s="94"/>
      <c r="CF16" s="95"/>
      <c r="CG16" s="95"/>
      <c r="CH16" s="95"/>
      <c r="CI16" s="94"/>
    </row>
    <row r="17" spans="1:87" x14ac:dyDescent="0.2">
      <c r="A17" s="8">
        <v>8</v>
      </c>
      <c r="B17" s="1125">
        <f>'Membership Record'!B18</f>
        <v>0</v>
      </c>
      <c r="C17" s="1125"/>
      <c r="D17" s="87">
        <f>'Membership Record'!G18+'Membership Record'!P18</f>
        <v>0</v>
      </c>
      <c r="E17" s="350">
        <f t="shared" si="7"/>
        <v>0</v>
      </c>
      <c r="F17" s="614">
        <f>'Membership Record'!H18+'Membership Record'!Q18</f>
        <v>0</v>
      </c>
      <c r="G17" s="615">
        <f t="shared" si="8"/>
        <v>0</v>
      </c>
      <c r="H17" s="614">
        <f>'Membership Record'!I18+'Membership Record'!R18</f>
        <v>0</v>
      </c>
      <c r="I17" s="616">
        <f t="shared" si="9"/>
        <v>0</v>
      </c>
      <c r="J17" s="614">
        <f>'Membership Record'!J18+'Membership Record'!S18</f>
        <v>0</v>
      </c>
      <c r="K17" s="618">
        <f t="shared" si="10"/>
        <v>0</v>
      </c>
      <c r="L17" s="618">
        <f>'Membership Record'!K18+'Membership Record'!T18</f>
        <v>0</v>
      </c>
      <c r="M17" s="615">
        <f t="shared" si="11"/>
        <v>0</v>
      </c>
      <c r="N17" s="614">
        <f>'Membership Record'!L18+'Membership Record'!U18</f>
        <v>0</v>
      </c>
      <c r="O17" s="619">
        <f t="shared" si="12"/>
        <v>0</v>
      </c>
      <c r="P17" s="346"/>
      <c r="Q17" s="93"/>
      <c r="R17" s="94"/>
      <c r="S17" s="94"/>
      <c r="T17" s="330"/>
      <c r="U17" s="347"/>
      <c r="V17" s="92"/>
      <c r="W17" s="94"/>
      <c r="X17" s="95"/>
      <c r="Y17" s="95"/>
      <c r="Z17" s="95"/>
      <c r="AA17" s="94"/>
      <c r="AB17" s="346"/>
      <c r="AC17" s="93"/>
      <c r="AD17" s="94"/>
      <c r="AE17" s="94"/>
      <c r="AF17" s="330"/>
      <c r="AG17" s="347"/>
      <c r="AH17" s="88"/>
      <c r="AI17" s="94"/>
      <c r="AJ17" s="95"/>
      <c r="AK17" s="95"/>
      <c r="AL17" s="95"/>
      <c r="AM17" s="90"/>
      <c r="AN17" s="346"/>
      <c r="AO17" s="93"/>
      <c r="AP17" s="94"/>
      <c r="AQ17" s="94"/>
      <c r="AR17" s="330"/>
      <c r="AS17" s="345"/>
      <c r="AT17" s="92"/>
      <c r="AU17" s="94"/>
      <c r="AV17" s="95"/>
      <c r="AW17" s="95"/>
      <c r="AX17" s="95"/>
      <c r="AY17" s="90"/>
      <c r="AZ17" s="346"/>
      <c r="BA17" s="93"/>
      <c r="BB17" s="94"/>
      <c r="BC17" s="94"/>
      <c r="BD17" s="330"/>
      <c r="BE17" s="347"/>
      <c r="BF17" s="92"/>
      <c r="BG17" s="94"/>
      <c r="BH17" s="95"/>
      <c r="BI17" s="95"/>
      <c r="BJ17" s="95"/>
      <c r="BK17" s="94"/>
      <c r="BL17" s="346"/>
      <c r="BM17" s="93"/>
      <c r="BN17" s="94"/>
      <c r="BO17" s="94"/>
      <c r="BP17" s="330"/>
      <c r="BQ17" s="347"/>
      <c r="BR17" s="92"/>
      <c r="BS17" s="94"/>
      <c r="BT17" s="95"/>
      <c r="BU17" s="95"/>
      <c r="BV17" s="95"/>
      <c r="BW17" s="94"/>
      <c r="BX17" s="346"/>
      <c r="BY17" s="93"/>
      <c r="BZ17" s="94"/>
      <c r="CA17" s="94"/>
      <c r="CB17" s="330"/>
      <c r="CC17" s="347"/>
      <c r="CD17" s="92"/>
      <c r="CE17" s="94"/>
      <c r="CF17" s="95"/>
      <c r="CG17" s="95"/>
      <c r="CH17" s="95"/>
      <c r="CI17" s="94"/>
    </row>
    <row r="18" spans="1:87" x14ac:dyDescent="0.2">
      <c r="A18" s="8">
        <v>9</v>
      </c>
      <c r="B18" s="1125">
        <f>'Membership Record'!B19</f>
        <v>0</v>
      </c>
      <c r="C18" s="1125"/>
      <c r="D18" s="87">
        <f>'Membership Record'!G19+'Membership Record'!P19</f>
        <v>0</v>
      </c>
      <c r="E18" s="350">
        <f t="shared" si="7"/>
        <v>0</v>
      </c>
      <c r="F18" s="614">
        <f>'Membership Record'!H19+'Membership Record'!Q19</f>
        <v>0</v>
      </c>
      <c r="G18" s="615">
        <f t="shared" si="8"/>
        <v>0</v>
      </c>
      <c r="H18" s="614">
        <f>'Membership Record'!I19+'Membership Record'!R19</f>
        <v>0</v>
      </c>
      <c r="I18" s="616">
        <f t="shared" si="9"/>
        <v>0</v>
      </c>
      <c r="J18" s="614">
        <f>'Membership Record'!J19+'Membership Record'!S19</f>
        <v>0</v>
      </c>
      <c r="K18" s="618">
        <f t="shared" si="10"/>
        <v>0</v>
      </c>
      <c r="L18" s="618">
        <f>'Membership Record'!K19+'Membership Record'!T19</f>
        <v>0</v>
      </c>
      <c r="M18" s="615">
        <f t="shared" si="11"/>
        <v>0</v>
      </c>
      <c r="N18" s="614">
        <f>'Membership Record'!L19+'Membership Record'!U19</f>
        <v>0</v>
      </c>
      <c r="O18" s="619">
        <f t="shared" si="12"/>
        <v>0</v>
      </c>
      <c r="P18" s="346"/>
      <c r="Q18" s="93"/>
      <c r="R18" s="94"/>
      <c r="S18" s="94"/>
      <c r="T18" s="330"/>
      <c r="U18" s="347"/>
      <c r="V18" s="92"/>
      <c r="W18" s="94"/>
      <c r="X18" s="95"/>
      <c r="Y18" s="95"/>
      <c r="Z18" s="95"/>
      <c r="AA18" s="94"/>
      <c r="AB18" s="346"/>
      <c r="AC18" s="93"/>
      <c r="AD18" s="94"/>
      <c r="AE18" s="94"/>
      <c r="AF18" s="330"/>
      <c r="AG18" s="347"/>
      <c r="AH18" s="88"/>
      <c r="AI18" s="94"/>
      <c r="AJ18" s="95"/>
      <c r="AK18" s="95"/>
      <c r="AL18" s="95"/>
      <c r="AM18" s="90"/>
      <c r="AN18" s="346"/>
      <c r="AO18" s="93"/>
      <c r="AP18" s="94"/>
      <c r="AQ18" s="94"/>
      <c r="AR18" s="330"/>
      <c r="AS18" s="345"/>
      <c r="AT18" s="92"/>
      <c r="AU18" s="94"/>
      <c r="AV18" s="95"/>
      <c r="AW18" s="95"/>
      <c r="AX18" s="95"/>
      <c r="AY18" s="90"/>
      <c r="AZ18" s="346"/>
      <c r="BA18" s="93"/>
      <c r="BB18" s="94"/>
      <c r="BC18" s="94"/>
      <c r="BD18" s="330"/>
      <c r="BE18" s="347"/>
      <c r="BF18" s="92"/>
      <c r="BG18" s="94"/>
      <c r="BH18" s="95"/>
      <c r="BI18" s="95"/>
      <c r="BJ18" s="95"/>
      <c r="BK18" s="94"/>
      <c r="BL18" s="346"/>
      <c r="BM18" s="93"/>
      <c r="BN18" s="94"/>
      <c r="BO18" s="94"/>
      <c r="BP18" s="330"/>
      <c r="BQ18" s="347"/>
      <c r="BR18" s="92"/>
      <c r="BS18" s="94"/>
      <c r="BT18" s="95"/>
      <c r="BU18" s="95"/>
      <c r="BV18" s="95"/>
      <c r="BW18" s="94"/>
      <c r="BX18" s="346"/>
      <c r="BY18" s="93"/>
      <c r="BZ18" s="94"/>
      <c r="CA18" s="94"/>
      <c r="CB18" s="330"/>
      <c r="CC18" s="347"/>
      <c r="CD18" s="92"/>
      <c r="CE18" s="94"/>
      <c r="CF18" s="95"/>
      <c r="CG18" s="95"/>
      <c r="CH18" s="95"/>
      <c r="CI18" s="94"/>
    </row>
    <row r="19" spans="1:87" x14ac:dyDescent="0.2">
      <c r="A19" s="8">
        <v>10</v>
      </c>
      <c r="B19" s="1125">
        <f>'Membership Record'!B20</f>
        <v>0</v>
      </c>
      <c r="C19" s="1125"/>
      <c r="D19" s="87">
        <f>'Membership Record'!G20+'Membership Record'!P20</f>
        <v>0</v>
      </c>
      <c r="E19" s="350">
        <f t="shared" si="7"/>
        <v>0</v>
      </c>
      <c r="F19" s="614">
        <f>'Membership Record'!H20+'Membership Record'!Q20</f>
        <v>0</v>
      </c>
      <c r="G19" s="615">
        <f t="shared" si="8"/>
        <v>0</v>
      </c>
      <c r="H19" s="614">
        <f>'Membership Record'!I20+'Membership Record'!R20</f>
        <v>0</v>
      </c>
      <c r="I19" s="616">
        <f t="shared" si="9"/>
        <v>0</v>
      </c>
      <c r="J19" s="614">
        <f>'Membership Record'!J20+'Membership Record'!S20</f>
        <v>0</v>
      </c>
      <c r="K19" s="618">
        <f t="shared" si="10"/>
        <v>0</v>
      </c>
      <c r="L19" s="618">
        <f>'Membership Record'!K20+'Membership Record'!T20</f>
        <v>0</v>
      </c>
      <c r="M19" s="615">
        <f t="shared" si="11"/>
        <v>0</v>
      </c>
      <c r="N19" s="614">
        <f>'Membership Record'!L20+'Membership Record'!U20</f>
        <v>0</v>
      </c>
      <c r="O19" s="619">
        <f t="shared" si="12"/>
        <v>0</v>
      </c>
      <c r="P19" s="346"/>
      <c r="Q19" s="93"/>
      <c r="R19" s="94"/>
      <c r="S19" s="94"/>
      <c r="T19" s="330"/>
      <c r="U19" s="347"/>
      <c r="V19" s="92"/>
      <c r="W19" s="94"/>
      <c r="X19" s="95"/>
      <c r="Y19" s="95"/>
      <c r="Z19" s="95"/>
      <c r="AA19" s="94"/>
      <c r="AB19" s="346"/>
      <c r="AC19" s="93"/>
      <c r="AD19" s="94"/>
      <c r="AE19" s="94"/>
      <c r="AF19" s="330"/>
      <c r="AG19" s="347"/>
      <c r="AH19" s="88"/>
      <c r="AI19" s="94"/>
      <c r="AJ19" s="95"/>
      <c r="AK19" s="95"/>
      <c r="AL19" s="95"/>
      <c r="AM19" s="90"/>
      <c r="AN19" s="346"/>
      <c r="AO19" s="93"/>
      <c r="AP19" s="94"/>
      <c r="AQ19" s="94"/>
      <c r="AR19" s="330"/>
      <c r="AS19" s="345"/>
      <c r="AT19" s="92"/>
      <c r="AU19" s="94"/>
      <c r="AV19" s="95"/>
      <c r="AW19" s="95"/>
      <c r="AX19" s="95"/>
      <c r="AY19" s="90"/>
      <c r="AZ19" s="346"/>
      <c r="BA19" s="93"/>
      <c r="BB19" s="94"/>
      <c r="BC19" s="94"/>
      <c r="BD19" s="330"/>
      <c r="BE19" s="347"/>
      <c r="BF19" s="92"/>
      <c r="BG19" s="94"/>
      <c r="BH19" s="95"/>
      <c r="BI19" s="95"/>
      <c r="BJ19" s="95"/>
      <c r="BK19" s="94"/>
      <c r="BL19" s="346"/>
      <c r="BM19" s="93"/>
      <c r="BN19" s="94"/>
      <c r="BO19" s="94"/>
      <c r="BP19" s="330"/>
      <c r="BQ19" s="347"/>
      <c r="BR19" s="92"/>
      <c r="BS19" s="94"/>
      <c r="BT19" s="95"/>
      <c r="BU19" s="95"/>
      <c r="BV19" s="95"/>
      <c r="BW19" s="94"/>
      <c r="BX19" s="346"/>
      <c r="BY19" s="93"/>
      <c r="BZ19" s="94"/>
      <c r="CA19" s="94"/>
      <c r="CB19" s="330"/>
      <c r="CC19" s="347"/>
      <c r="CD19" s="92"/>
      <c r="CE19" s="94"/>
      <c r="CF19" s="95"/>
      <c r="CG19" s="95"/>
      <c r="CH19" s="95"/>
      <c r="CI19" s="94"/>
    </row>
    <row r="20" spans="1:87" x14ac:dyDescent="0.2">
      <c r="A20" s="8">
        <v>11</v>
      </c>
      <c r="B20" s="1125">
        <f>'Membership Record'!B21</f>
        <v>0</v>
      </c>
      <c r="C20" s="1125"/>
      <c r="D20" s="87">
        <f>'Membership Record'!G21+'Membership Record'!P21</f>
        <v>0</v>
      </c>
      <c r="E20" s="350">
        <f t="shared" si="7"/>
        <v>0</v>
      </c>
      <c r="F20" s="614">
        <f>'Membership Record'!H21+'Membership Record'!Q21</f>
        <v>0</v>
      </c>
      <c r="G20" s="615">
        <f t="shared" si="8"/>
        <v>0</v>
      </c>
      <c r="H20" s="614">
        <f>'Membership Record'!I21+'Membership Record'!R21</f>
        <v>0</v>
      </c>
      <c r="I20" s="616">
        <f t="shared" si="9"/>
        <v>0</v>
      </c>
      <c r="J20" s="614">
        <f>'Membership Record'!J21+'Membership Record'!S21</f>
        <v>0</v>
      </c>
      <c r="K20" s="618">
        <f t="shared" si="10"/>
        <v>0</v>
      </c>
      <c r="L20" s="618">
        <f>'Membership Record'!K21+'Membership Record'!T21</f>
        <v>0</v>
      </c>
      <c r="M20" s="615">
        <f t="shared" si="11"/>
        <v>0</v>
      </c>
      <c r="N20" s="614">
        <f>'Membership Record'!L21+'Membership Record'!U21</f>
        <v>0</v>
      </c>
      <c r="O20" s="619">
        <f t="shared" si="12"/>
        <v>0</v>
      </c>
      <c r="P20" s="346"/>
      <c r="Q20" s="93"/>
      <c r="R20" s="94"/>
      <c r="S20" s="94"/>
      <c r="T20" s="330"/>
      <c r="U20" s="347"/>
      <c r="V20" s="92"/>
      <c r="W20" s="94"/>
      <c r="X20" s="95"/>
      <c r="Y20" s="95"/>
      <c r="Z20" s="95"/>
      <c r="AA20" s="94"/>
      <c r="AB20" s="346"/>
      <c r="AC20" s="93"/>
      <c r="AD20" s="94"/>
      <c r="AE20" s="94"/>
      <c r="AF20" s="330"/>
      <c r="AG20" s="347"/>
      <c r="AH20" s="88"/>
      <c r="AI20" s="94"/>
      <c r="AJ20" s="95"/>
      <c r="AK20" s="95"/>
      <c r="AL20" s="95"/>
      <c r="AM20" s="90"/>
      <c r="AN20" s="346"/>
      <c r="AO20" s="93"/>
      <c r="AP20" s="94"/>
      <c r="AQ20" s="94"/>
      <c r="AR20" s="330"/>
      <c r="AS20" s="345"/>
      <c r="AT20" s="92"/>
      <c r="AU20" s="94"/>
      <c r="AV20" s="95"/>
      <c r="AW20" s="95"/>
      <c r="AX20" s="95"/>
      <c r="AY20" s="90"/>
      <c r="AZ20" s="346"/>
      <c r="BA20" s="93"/>
      <c r="BB20" s="94"/>
      <c r="BC20" s="94"/>
      <c r="BD20" s="330"/>
      <c r="BE20" s="347"/>
      <c r="BF20" s="92"/>
      <c r="BG20" s="94"/>
      <c r="BH20" s="95"/>
      <c r="BI20" s="95"/>
      <c r="BJ20" s="95"/>
      <c r="BK20" s="94"/>
      <c r="BL20" s="346"/>
      <c r="BM20" s="93"/>
      <c r="BN20" s="94"/>
      <c r="BO20" s="94"/>
      <c r="BP20" s="330"/>
      <c r="BQ20" s="347"/>
      <c r="BR20" s="92"/>
      <c r="BS20" s="94"/>
      <c r="BT20" s="95"/>
      <c r="BU20" s="95"/>
      <c r="BV20" s="95"/>
      <c r="BW20" s="94"/>
      <c r="BX20" s="346"/>
      <c r="BY20" s="93"/>
      <c r="BZ20" s="94"/>
      <c r="CA20" s="94"/>
      <c r="CB20" s="330"/>
      <c r="CC20" s="347"/>
      <c r="CD20" s="92"/>
      <c r="CE20" s="94"/>
      <c r="CF20" s="95"/>
      <c r="CG20" s="95"/>
      <c r="CH20" s="95"/>
      <c r="CI20" s="94"/>
    </row>
    <row r="21" spans="1:87" x14ac:dyDescent="0.2">
      <c r="A21" s="8">
        <v>12</v>
      </c>
      <c r="B21" s="1125">
        <f>'Membership Record'!B22</f>
        <v>0</v>
      </c>
      <c r="C21" s="1125"/>
      <c r="D21" s="87">
        <f>'Membership Record'!G22+'Membership Record'!P22</f>
        <v>0</v>
      </c>
      <c r="E21" s="350">
        <f t="shared" si="7"/>
        <v>0</v>
      </c>
      <c r="F21" s="614">
        <f>'Membership Record'!H22+'Membership Record'!Q22</f>
        <v>0</v>
      </c>
      <c r="G21" s="615">
        <f t="shared" si="8"/>
        <v>0</v>
      </c>
      <c r="H21" s="614">
        <f>'Membership Record'!I22+'Membership Record'!R22</f>
        <v>0</v>
      </c>
      <c r="I21" s="616">
        <f t="shared" si="9"/>
        <v>0</v>
      </c>
      <c r="J21" s="614">
        <f>'Membership Record'!J22+'Membership Record'!S22</f>
        <v>0</v>
      </c>
      <c r="K21" s="618">
        <f t="shared" si="10"/>
        <v>0</v>
      </c>
      <c r="L21" s="618">
        <f>'Membership Record'!K22+'Membership Record'!T22</f>
        <v>0</v>
      </c>
      <c r="M21" s="615">
        <f t="shared" si="11"/>
        <v>0</v>
      </c>
      <c r="N21" s="614">
        <f>'Membership Record'!L22+'Membership Record'!U22</f>
        <v>0</v>
      </c>
      <c r="O21" s="619">
        <f t="shared" si="12"/>
        <v>0</v>
      </c>
      <c r="P21" s="346"/>
      <c r="Q21" s="93"/>
      <c r="R21" s="94"/>
      <c r="S21" s="94"/>
      <c r="T21" s="330"/>
      <c r="U21" s="347"/>
      <c r="V21" s="92"/>
      <c r="W21" s="94"/>
      <c r="X21" s="95"/>
      <c r="Y21" s="95"/>
      <c r="Z21" s="95"/>
      <c r="AA21" s="94"/>
      <c r="AB21" s="346"/>
      <c r="AC21" s="93"/>
      <c r="AD21" s="94"/>
      <c r="AE21" s="94"/>
      <c r="AF21" s="330"/>
      <c r="AG21" s="347"/>
      <c r="AH21" s="88"/>
      <c r="AI21" s="94"/>
      <c r="AJ21" s="95"/>
      <c r="AK21" s="95"/>
      <c r="AL21" s="95"/>
      <c r="AM21" s="90"/>
      <c r="AN21" s="346"/>
      <c r="AO21" s="93"/>
      <c r="AP21" s="94"/>
      <c r="AQ21" s="94"/>
      <c r="AR21" s="330"/>
      <c r="AS21" s="345"/>
      <c r="AT21" s="92"/>
      <c r="AU21" s="94"/>
      <c r="AV21" s="95"/>
      <c r="AW21" s="95"/>
      <c r="AX21" s="95"/>
      <c r="AY21" s="90"/>
      <c r="AZ21" s="346"/>
      <c r="BA21" s="93"/>
      <c r="BB21" s="94"/>
      <c r="BC21" s="94"/>
      <c r="BD21" s="330"/>
      <c r="BE21" s="347"/>
      <c r="BF21" s="92"/>
      <c r="BG21" s="94"/>
      <c r="BH21" s="95"/>
      <c r="BI21" s="95"/>
      <c r="BJ21" s="95"/>
      <c r="BK21" s="94"/>
      <c r="BL21" s="346"/>
      <c r="BM21" s="93"/>
      <c r="BN21" s="94"/>
      <c r="BO21" s="94"/>
      <c r="BP21" s="330"/>
      <c r="BQ21" s="347"/>
      <c r="BR21" s="92"/>
      <c r="BS21" s="94"/>
      <c r="BT21" s="95"/>
      <c r="BU21" s="95"/>
      <c r="BV21" s="95"/>
      <c r="BW21" s="94"/>
      <c r="BX21" s="346"/>
      <c r="BY21" s="93"/>
      <c r="BZ21" s="94"/>
      <c r="CA21" s="94"/>
      <c r="CB21" s="330"/>
      <c r="CC21" s="347"/>
      <c r="CD21" s="92"/>
      <c r="CE21" s="94"/>
      <c r="CF21" s="95"/>
      <c r="CG21" s="95"/>
      <c r="CH21" s="95"/>
      <c r="CI21" s="94"/>
    </row>
    <row r="22" spans="1:87" x14ac:dyDescent="0.2">
      <c r="A22" s="8">
        <v>13</v>
      </c>
      <c r="B22" s="1125">
        <f>'Membership Record'!B23</f>
        <v>0</v>
      </c>
      <c r="C22" s="1125"/>
      <c r="D22" s="87">
        <f>'Membership Record'!G23+'Membership Record'!P23</f>
        <v>0</v>
      </c>
      <c r="E22" s="350">
        <f t="shared" si="7"/>
        <v>0</v>
      </c>
      <c r="F22" s="614">
        <f>'Membership Record'!H23+'Membership Record'!Q23</f>
        <v>0</v>
      </c>
      <c r="G22" s="615">
        <f t="shared" si="8"/>
        <v>0</v>
      </c>
      <c r="H22" s="614">
        <f>'Membership Record'!I23+'Membership Record'!R23</f>
        <v>0</v>
      </c>
      <c r="I22" s="616">
        <f t="shared" si="9"/>
        <v>0</v>
      </c>
      <c r="J22" s="614">
        <f>'Membership Record'!J23+'Membership Record'!S23</f>
        <v>0</v>
      </c>
      <c r="K22" s="618">
        <f t="shared" si="10"/>
        <v>0</v>
      </c>
      <c r="L22" s="618">
        <f>'Membership Record'!K23+'Membership Record'!T23</f>
        <v>0</v>
      </c>
      <c r="M22" s="615">
        <f t="shared" si="11"/>
        <v>0</v>
      </c>
      <c r="N22" s="614">
        <f>'Membership Record'!L23+'Membership Record'!U23</f>
        <v>0</v>
      </c>
      <c r="O22" s="619">
        <f t="shared" si="12"/>
        <v>0</v>
      </c>
      <c r="P22" s="346"/>
      <c r="Q22" s="93"/>
      <c r="R22" s="94"/>
      <c r="S22" s="94"/>
      <c r="T22" s="330"/>
      <c r="U22" s="347"/>
      <c r="V22" s="92"/>
      <c r="W22" s="94"/>
      <c r="X22" s="95"/>
      <c r="Y22" s="95"/>
      <c r="Z22" s="95"/>
      <c r="AA22" s="94"/>
      <c r="AB22" s="346"/>
      <c r="AC22" s="93"/>
      <c r="AD22" s="94"/>
      <c r="AE22" s="94"/>
      <c r="AF22" s="330"/>
      <c r="AG22" s="347"/>
      <c r="AH22" s="88"/>
      <c r="AI22" s="94"/>
      <c r="AJ22" s="95"/>
      <c r="AK22" s="95"/>
      <c r="AL22" s="95"/>
      <c r="AM22" s="90"/>
      <c r="AN22" s="346"/>
      <c r="AO22" s="93"/>
      <c r="AP22" s="94"/>
      <c r="AQ22" s="94"/>
      <c r="AR22" s="330"/>
      <c r="AS22" s="345"/>
      <c r="AT22" s="92"/>
      <c r="AU22" s="94"/>
      <c r="AV22" s="95"/>
      <c r="AW22" s="95"/>
      <c r="AX22" s="95"/>
      <c r="AY22" s="90"/>
      <c r="AZ22" s="346"/>
      <c r="BA22" s="93"/>
      <c r="BB22" s="94"/>
      <c r="BC22" s="94"/>
      <c r="BD22" s="330"/>
      <c r="BE22" s="347"/>
      <c r="BF22" s="92"/>
      <c r="BG22" s="94"/>
      <c r="BH22" s="95"/>
      <c r="BI22" s="95"/>
      <c r="BJ22" s="95"/>
      <c r="BK22" s="94"/>
      <c r="BL22" s="346"/>
      <c r="BM22" s="93"/>
      <c r="BN22" s="94"/>
      <c r="BO22" s="94"/>
      <c r="BP22" s="330"/>
      <c r="BQ22" s="347"/>
      <c r="BR22" s="92"/>
      <c r="BS22" s="94"/>
      <c r="BT22" s="95"/>
      <c r="BU22" s="95"/>
      <c r="BV22" s="95"/>
      <c r="BW22" s="94"/>
      <c r="BX22" s="346"/>
      <c r="BY22" s="93"/>
      <c r="BZ22" s="94"/>
      <c r="CA22" s="94"/>
      <c r="CB22" s="330"/>
      <c r="CC22" s="347"/>
      <c r="CD22" s="92"/>
      <c r="CE22" s="94"/>
      <c r="CF22" s="95"/>
      <c r="CG22" s="95"/>
      <c r="CH22" s="95"/>
      <c r="CI22" s="94"/>
    </row>
    <row r="23" spans="1:87" x14ac:dyDescent="0.2">
      <c r="A23" s="8">
        <v>14</v>
      </c>
      <c r="B23" s="1125">
        <f>'Membership Record'!B24</f>
        <v>0</v>
      </c>
      <c r="C23" s="1125"/>
      <c r="D23" s="87">
        <f>'Membership Record'!G24+'Membership Record'!P24</f>
        <v>0</v>
      </c>
      <c r="E23" s="350">
        <f t="shared" si="7"/>
        <v>0</v>
      </c>
      <c r="F23" s="614">
        <f>'Membership Record'!H24+'Membership Record'!Q24</f>
        <v>0</v>
      </c>
      <c r="G23" s="615">
        <f t="shared" si="8"/>
        <v>0</v>
      </c>
      <c r="H23" s="614">
        <f>'Membership Record'!I24+'Membership Record'!R24</f>
        <v>0</v>
      </c>
      <c r="I23" s="616">
        <f t="shared" si="9"/>
        <v>0</v>
      </c>
      <c r="J23" s="614">
        <f>'Membership Record'!J24+'Membership Record'!S24</f>
        <v>0</v>
      </c>
      <c r="K23" s="618">
        <f t="shared" si="10"/>
        <v>0</v>
      </c>
      <c r="L23" s="618">
        <f>'Membership Record'!K24+'Membership Record'!T24</f>
        <v>0</v>
      </c>
      <c r="M23" s="615">
        <f t="shared" si="11"/>
        <v>0</v>
      </c>
      <c r="N23" s="614">
        <f>'Membership Record'!L24+'Membership Record'!U24</f>
        <v>0</v>
      </c>
      <c r="O23" s="619">
        <f t="shared" si="12"/>
        <v>0</v>
      </c>
      <c r="P23" s="346"/>
      <c r="Q23" s="93"/>
      <c r="R23" s="94"/>
      <c r="S23" s="94"/>
      <c r="T23" s="330"/>
      <c r="U23" s="347"/>
      <c r="V23" s="92"/>
      <c r="W23" s="94"/>
      <c r="X23" s="95"/>
      <c r="Y23" s="95"/>
      <c r="Z23" s="95"/>
      <c r="AA23" s="94"/>
      <c r="AB23" s="346"/>
      <c r="AC23" s="93"/>
      <c r="AD23" s="94"/>
      <c r="AE23" s="94"/>
      <c r="AF23" s="330"/>
      <c r="AG23" s="347"/>
      <c r="AH23" s="88"/>
      <c r="AI23" s="94"/>
      <c r="AJ23" s="95"/>
      <c r="AK23" s="95"/>
      <c r="AL23" s="95"/>
      <c r="AM23" s="90"/>
      <c r="AN23" s="346"/>
      <c r="AO23" s="93"/>
      <c r="AP23" s="94"/>
      <c r="AQ23" s="94"/>
      <c r="AR23" s="330"/>
      <c r="AS23" s="345"/>
      <c r="AT23" s="92"/>
      <c r="AU23" s="94"/>
      <c r="AV23" s="95"/>
      <c r="AW23" s="95"/>
      <c r="AX23" s="95"/>
      <c r="AY23" s="90"/>
      <c r="AZ23" s="346"/>
      <c r="BA23" s="93"/>
      <c r="BB23" s="94"/>
      <c r="BC23" s="94"/>
      <c r="BD23" s="330"/>
      <c r="BE23" s="347"/>
      <c r="BF23" s="92"/>
      <c r="BG23" s="94"/>
      <c r="BH23" s="95"/>
      <c r="BI23" s="95"/>
      <c r="BJ23" s="95"/>
      <c r="BK23" s="94"/>
      <c r="BL23" s="346"/>
      <c r="BM23" s="93"/>
      <c r="BN23" s="94"/>
      <c r="BO23" s="94"/>
      <c r="BP23" s="330"/>
      <c r="BQ23" s="347"/>
      <c r="BR23" s="92"/>
      <c r="BS23" s="94"/>
      <c r="BT23" s="95"/>
      <c r="BU23" s="95"/>
      <c r="BV23" s="95"/>
      <c r="BW23" s="94"/>
      <c r="BX23" s="346"/>
      <c r="BY23" s="93"/>
      <c r="BZ23" s="94"/>
      <c r="CA23" s="94"/>
      <c r="CB23" s="330"/>
      <c r="CC23" s="347"/>
      <c r="CD23" s="92"/>
      <c r="CE23" s="94"/>
      <c r="CF23" s="95"/>
      <c r="CG23" s="95"/>
      <c r="CH23" s="95"/>
      <c r="CI23" s="94"/>
    </row>
    <row r="24" spans="1:87" x14ac:dyDescent="0.2">
      <c r="A24" s="8">
        <v>15</v>
      </c>
      <c r="B24" s="1125">
        <f>'Membership Record'!B25</f>
        <v>0</v>
      </c>
      <c r="C24" s="1125"/>
      <c r="D24" s="87">
        <f>'Membership Record'!G25+'Membership Record'!P25</f>
        <v>0</v>
      </c>
      <c r="E24" s="350">
        <f t="shared" si="7"/>
        <v>0</v>
      </c>
      <c r="F24" s="614">
        <f>'Membership Record'!H25+'Membership Record'!Q25</f>
        <v>0</v>
      </c>
      <c r="G24" s="615">
        <f t="shared" si="8"/>
        <v>0</v>
      </c>
      <c r="H24" s="614">
        <f>'Membership Record'!I25+'Membership Record'!R25</f>
        <v>0</v>
      </c>
      <c r="I24" s="616">
        <f t="shared" si="9"/>
        <v>0</v>
      </c>
      <c r="J24" s="614">
        <f>'Membership Record'!J25+'Membership Record'!S25</f>
        <v>0</v>
      </c>
      <c r="K24" s="618">
        <f t="shared" si="10"/>
        <v>0</v>
      </c>
      <c r="L24" s="618">
        <f>'Membership Record'!K25+'Membership Record'!T25</f>
        <v>0</v>
      </c>
      <c r="M24" s="615">
        <f t="shared" si="11"/>
        <v>0</v>
      </c>
      <c r="N24" s="614">
        <f>'Membership Record'!L25+'Membership Record'!U25</f>
        <v>0</v>
      </c>
      <c r="O24" s="619">
        <f t="shared" si="12"/>
        <v>0</v>
      </c>
      <c r="P24" s="346"/>
      <c r="Q24" s="93"/>
      <c r="R24" s="94"/>
      <c r="S24" s="94"/>
      <c r="T24" s="330"/>
      <c r="U24" s="347"/>
      <c r="V24" s="92"/>
      <c r="W24" s="94"/>
      <c r="X24" s="95"/>
      <c r="Y24" s="95"/>
      <c r="Z24" s="95"/>
      <c r="AA24" s="94"/>
      <c r="AB24" s="346"/>
      <c r="AC24" s="93"/>
      <c r="AD24" s="94"/>
      <c r="AE24" s="94"/>
      <c r="AF24" s="330"/>
      <c r="AG24" s="347"/>
      <c r="AH24" s="88"/>
      <c r="AI24" s="94"/>
      <c r="AJ24" s="95"/>
      <c r="AK24" s="95"/>
      <c r="AL24" s="95"/>
      <c r="AM24" s="90"/>
      <c r="AN24" s="346"/>
      <c r="AO24" s="93"/>
      <c r="AP24" s="94"/>
      <c r="AQ24" s="94"/>
      <c r="AR24" s="330"/>
      <c r="AS24" s="345"/>
      <c r="AT24" s="92"/>
      <c r="AU24" s="94"/>
      <c r="AV24" s="95"/>
      <c r="AW24" s="95"/>
      <c r="AX24" s="95"/>
      <c r="AY24" s="90"/>
      <c r="AZ24" s="346"/>
      <c r="BA24" s="93"/>
      <c r="BB24" s="94"/>
      <c r="BC24" s="94"/>
      <c r="BD24" s="330"/>
      <c r="BE24" s="347"/>
      <c r="BF24" s="92"/>
      <c r="BG24" s="94"/>
      <c r="BH24" s="95"/>
      <c r="BI24" s="95"/>
      <c r="BJ24" s="95"/>
      <c r="BK24" s="94"/>
      <c r="BL24" s="346"/>
      <c r="BM24" s="93"/>
      <c r="BN24" s="94"/>
      <c r="BO24" s="94"/>
      <c r="BP24" s="330"/>
      <c r="BQ24" s="347"/>
      <c r="BR24" s="92"/>
      <c r="BS24" s="94"/>
      <c r="BT24" s="95"/>
      <c r="BU24" s="95"/>
      <c r="BV24" s="95"/>
      <c r="BW24" s="94"/>
      <c r="BX24" s="346"/>
      <c r="BY24" s="93"/>
      <c r="BZ24" s="94"/>
      <c r="CA24" s="94"/>
      <c r="CB24" s="330"/>
      <c r="CC24" s="347"/>
      <c r="CD24" s="92"/>
      <c r="CE24" s="94"/>
      <c r="CF24" s="95"/>
      <c r="CG24" s="95"/>
      <c r="CH24" s="95"/>
      <c r="CI24" s="94"/>
    </row>
    <row r="25" spans="1:87" x14ac:dyDescent="0.2">
      <c r="A25" s="8">
        <v>16</v>
      </c>
      <c r="B25" s="1125">
        <f>'Membership Record'!B26</f>
        <v>0</v>
      </c>
      <c r="C25" s="1125"/>
      <c r="D25" s="87">
        <f>'Membership Record'!G26+'Membership Record'!P26</f>
        <v>0</v>
      </c>
      <c r="E25" s="350">
        <f t="shared" si="7"/>
        <v>0</v>
      </c>
      <c r="F25" s="614">
        <f>'Membership Record'!H26+'Membership Record'!Q26</f>
        <v>0</v>
      </c>
      <c r="G25" s="615">
        <f t="shared" si="8"/>
        <v>0</v>
      </c>
      <c r="H25" s="614">
        <f>'Membership Record'!I26+'Membership Record'!R26</f>
        <v>0</v>
      </c>
      <c r="I25" s="616">
        <f t="shared" si="9"/>
        <v>0</v>
      </c>
      <c r="J25" s="614">
        <f>'Membership Record'!J26+'Membership Record'!S26</f>
        <v>0</v>
      </c>
      <c r="K25" s="618">
        <f t="shared" si="10"/>
        <v>0</v>
      </c>
      <c r="L25" s="618">
        <f>'Membership Record'!K26+'Membership Record'!T26</f>
        <v>0</v>
      </c>
      <c r="M25" s="615">
        <f t="shared" si="11"/>
        <v>0</v>
      </c>
      <c r="N25" s="614">
        <f>'Membership Record'!L26+'Membership Record'!U26</f>
        <v>0</v>
      </c>
      <c r="O25" s="619">
        <f t="shared" si="12"/>
        <v>0</v>
      </c>
      <c r="P25" s="346"/>
      <c r="Q25" s="93"/>
      <c r="R25" s="94"/>
      <c r="S25" s="94"/>
      <c r="T25" s="330"/>
      <c r="U25" s="347"/>
      <c r="V25" s="92"/>
      <c r="W25" s="94"/>
      <c r="X25" s="95"/>
      <c r="Y25" s="95"/>
      <c r="Z25" s="95"/>
      <c r="AA25" s="94"/>
      <c r="AB25" s="346"/>
      <c r="AC25" s="93"/>
      <c r="AD25" s="94"/>
      <c r="AE25" s="94"/>
      <c r="AF25" s="330"/>
      <c r="AG25" s="347"/>
      <c r="AH25" s="88"/>
      <c r="AI25" s="94"/>
      <c r="AJ25" s="95"/>
      <c r="AK25" s="95"/>
      <c r="AL25" s="95"/>
      <c r="AM25" s="90"/>
      <c r="AN25" s="346"/>
      <c r="AO25" s="93"/>
      <c r="AP25" s="94"/>
      <c r="AQ25" s="94"/>
      <c r="AR25" s="330"/>
      <c r="AS25" s="345"/>
      <c r="AT25" s="92"/>
      <c r="AU25" s="94"/>
      <c r="AV25" s="95"/>
      <c r="AW25" s="95"/>
      <c r="AX25" s="95"/>
      <c r="AY25" s="90"/>
      <c r="AZ25" s="346"/>
      <c r="BA25" s="93"/>
      <c r="BB25" s="94"/>
      <c r="BC25" s="94"/>
      <c r="BD25" s="330"/>
      <c r="BE25" s="347"/>
      <c r="BF25" s="92"/>
      <c r="BG25" s="94"/>
      <c r="BH25" s="95"/>
      <c r="BI25" s="95"/>
      <c r="BJ25" s="95"/>
      <c r="BK25" s="94"/>
      <c r="BL25" s="346"/>
      <c r="BM25" s="93"/>
      <c r="BN25" s="94"/>
      <c r="BO25" s="94"/>
      <c r="BP25" s="330"/>
      <c r="BQ25" s="347"/>
      <c r="BR25" s="92"/>
      <c r="BS25" s="94"/>
      <c r="BT25" s="95"/>
      <c r="BU25" s="95"/>
      <c r="BV25" s="95"/>
      <c r="BW25" s="94"/>
      <c r="BX25" s="346"/>
      <c r="BY25" s="93"/>
      <c r="BZ25" s="94"/>
      <c r="CA25" s="94"/>
      <c r="CB25" s="330"/>
      <c r="CC25" s="347"/>
      <c r="CD25" s="92"/>
      <c r="CE25" s="94"/>
      <c r="CF25" s="95"/>
      <c r="CG25" s="95"/>
      <c r="CH25" s="95"/>
      <c r="CI25" s="94"/>
    </row>
    <row r="26" spans="1:87" x14ac:dyDescent="0.2">
      <c r="A26" s="8">
        <v>17</v>
      </c>
      <c r="B26" s="1125">
        <f>'Membership Record'!B27</f>
        <v>0</v>
      </c>
      <c r="C26" s="1125"/>
      <c r="D26" s="87">
        <f>'Membership Record'!G27+'Membership Record'!P27</f>
        <v>0</v>
      </c>
      <c r="E26" s="350">
        <f t="shared" si="7"/>
        <v>0</v>
      </c>
      <c r="F26" s="614">
        <f>'Membership Record'!H27+'Membership Record'!Q27</f>
        <v>0</v>
      </c>
      <c r="G26" s="615">
        <f t="shared" si="8"/>
        <v>0</v>
      </c>
      <c r="H26" s="614">
        <f>'Membership Record'!I27+'Membership Record'!R27</f>
        <v>0</v>
      </c>
      <c r="I26" s="616">
        <f t="shared" si="9"/>
        <v>0</v>
      </c>
      <c r="J26" s="614">
        <f>'Membership Record'!J27+'Membership Record'!S27</f>
        <v>0</v>
      </c>
      <c r="K26" s="618">
        <f t="shared" si="10"/>
        <v>0</v>
      </c>
      <c r="L26" s="618">
        <f>'Membership Record'!K27+'Membership Record'!T27</f>
        <v>0</v>
      </c>
      <c r="M26" s="615">
        <f t="shared" si="11"/>
        <v>0</v>
      </c>
      <c r="N26" s="614">
        <f>'Membership Record'!L27+'Membership Record'!U27</f>
        <v>0</v>
      </c>
      <c r="O26" s="619">
        <f t="shared" si="12"/>
        <v>0</v>
      </c>
      <c r="P26" s="346"/>
      <c r="Q26" s="93"/>
      <c r="R26" s="94"/>
      <c r="S26" s="94"/>
      <c r="T26" s="330"/>
      <c r="U26" s="347"/>
      <c r="V26" s="92"/>
      <c r="W26" s="94"/>
      <c r="X26" s="95"/>
      <c r="Y26" s="95"/>
      <c r="Z26" s="95"/>
      <c r="AA26" s="94"/>
      <c r="AB26" s="346"/>
      <c r="AC26" s="93"/>
      <c r="AD26" s="94"/>
      <c r="AE26" s="94"/>
      <c r="AF26" s="330"/>
      <c r="AG26" s="347"/>
      <c r="AH26" s="88"/>
      <c r="AI26" s="94"/>
      <c r="AJ26" s="95"/>
      <c r="AK26" s="95"/>
      <c r="AL26" s="95"/>
      <c r="AM26" s="90"/>
      <c r="AN26" s="346"/>
      <c r="AO26" s="93"/>
      <c r="AP26" s="94"/>
      <c r="AQ26" s="94"/>
      <c r="AR26" s="330"/>
      <c r="AS26" s="345"/>
      <c r="AT26" s="92"/>
      <c r="AU26" s="94"/>
      <c r="AV26" s="95"/>
      <c r="AW26" s="95"/>
      <c r="AX26" s="95"/>
      <c r="AY26" s="90"/>
      <c r="AZ26" s="346"/>
      <c r="BA26" s="93"/>
      <c r="BB26" s="94"/>
      <c r="BC26" s="94"/>
      <c r="BD26" s="330"/>
      <c r="BE26" s="347"/>
      <c r="BF26" s="92"/>
      <c r="BG26" s="94"/>
      <c r="BH26" s="95"/>
      <c r="BI26" s="95"/>
      <c r="BJ26" s="95"/>
      <c r="BK26" s="94"/>
      <c r="BL26" s="346"/>
      <c r="BM26" s="93"/>
      <c r="BN26" s="94"/>
      <c r="BO26" s="94"/>
      <c r="BP26" s="330"/>
      <c r="BQ26" s="347"/>
      <c r="BR26" s="92"/>
      <c r="BS26" s="94"/>
      <c r="BT26" s="95"/>
      <c r="BU26" s="95"/>
      <c r="BV26" s="95"/>
      <c r="BW26" s="94"/>
      <c r="BX26" s="346"/>
      <c r="BY26" s="93"/>
      <c r="BZ26" s="94"/>
      <c r="CA26" s="94"/>
      <c r="CB26" s="330"/>
      <c r="CC26" s="347"/>
      <c r="CD26" s="92"/>
      <c r="CE26" s="94"/>
      <c r="CF26" s="95"/>
      <c r="CG26" s="95"/>
      <c r="CH26" s="95"/>
      <c r="CI26" s="94"/>
    </row>
    <row r="27" spans="1:87" x14ac:dyDescent="0.2">
      <c r="A27" s="8">
        <v>18</v>
      </c>
      <c r="B27" s="1125">
        <f>'Membership Record'!B28</f>
        <v>0</v>
      </c>
      <c r="C27" s="1125"/>
      <c r="D27" s="87">
        <f>'Membership Record'!G28+'Membership Record'!P28</f>
        <v>0</v>
      </c>
      <c r="E27" s="350">
        <f t="shared" si="7"/>
        <v>0</v>
      </c>
      <c r="F27" s="614">
        <f>'Membership Record'!H28+'Membership Record'!Q28</f>
        <v>0</v>
      </c>
      <c r="G27" s="615">
        <f t="shared" si="8"/>
        <v>0</v>
      </c>
      <c r="H27" s="614">
        <f>'Membership Record'!I28+'Membership Record'!R28</f>
        <v>0</v>
      </c>
      <c r="I27" s="616">
        <f t="shared" si="9"/>
        <v>0</v>
      </c>
      <c r="J27" s="614">
        <f>'Membership Record'!J28+'Membership Record'!S28</f>
        <v>0</v>
      </c>
      <c r="K27" s="618">
        <f t="shared" si="10"/>
        <v>0</v>
      </c>
      <c r="L27" s="618">
        <f>'Membership Record'!K28+'Membership Record'!T28</f>
        <v>0</v>
      </c>
      <c r="M27" s="615">
        <f t="shared" si="11"/>
        <v>0</v>
      </c>
      <c r="N27" s="614">
        <f>'Membership Record'!L28+'Membership Record'!U28</f>
        <v>0</v>
      </c>
      <c r="O27" s="619">
        <f t="shared" si="12"/>
        <v>0</v>
      </c>
      <c r="P27" s="346"/>
      <c r="Q27" s="93"/>
      <c r="R27" s="94"/>
      <c r="S27" s="94"/>
      <c r="T27" s="330"/>
      <c r="U27" s="347"/>
      <c r="V27" s="92"/>
      <c r="W27" s="94"/>
      <c r="X27" s="95"/>
      <c r="Y27" s="95"/>
      <c r="Z27" s="95"/>
      <c r="AA27" s="94"/>
      <c r="AB27" s="346"/>
      <c r="AC27" s="93"/>
      <c r="AD27" s="94"/>
      <c r="AE27" s="94"/>
      <c r="AF27" s="330"/>
      <c r="AG27" s="347"/>
      <c r="AH27" s="88"/>
      <c r="AI27" s="94"/>
      <c r="AJ27" s="95"/>
      <c r="AK27" s="95"/>
      <c r="AL27" s="95"/>
      <c r="AM27" s="90"/>
      <c r="AN27" s="346"/>
      <c r="AO27" s="93"/>
      <c r="AP27" s="94"/>
      <c r="AQ27" s="94"/>
      <c r="AR27" s="330"/>
      <c r="AS27" s="345"/>
      <c r="AT27" s="92"/>
      <c r="AU27" s="94"/>
      <c r="AV27" s="95"/>
      <c r="AW27" s="95"/>
      <c r="AX27" s="95"/>
      <c r="AY27" s="90"/>
      <c r="AZ27" s="346"/>
      <c r="BA27" s="93"/>
      <c r="BB27" s="94"/>
      <c r="BC27" s="94"/>
      <c r="BD27" s="330"/>
      <c r="BE27" s="347"/>
      <c r="BF27" s="92"/>
      <c r="BG27" s="94"/>
      <c r="BH27" s="95"/>
      <c r="BI27" s="95"/>
      <c r="BJ27" s="95"/>
      <c r="BK27" s="94"/>
      <c r="BL27" s="346"/>
      <c r="BM27" s="93"/>
      <c r="BN27" s="94"/>
      <c r="BO27" s="94"/>
      <c r="BP27" s="330"/>
      <c r="BQ27" s="347"/>
      <c r="BR27" s="92"/>
      <c r="BS27" s="94"/>
      <c r="BT27" s="95"/>
      <c r="BU27" s="95"/>
      <c r="BV27" s="95"/>
      <c r="BW27" s="94"/>
      <c r="BX27" s="346"/>
      <c r="BY27" s="93"/>
      <c r="BZ27" s="94"/>
      <c r="CA27" s="94"/>
      <c r="CB27" s="330"/>
      <c r="CC27" s="347"/>
      <c r="CD27" s="92"/>
      <c r="CE27" s="94"/>
      <c r="CF27" s="95"/>
      <c r="CG27" s="95"/>
      <c r="CH27" s="95"/>
      <c r="CI27" s="94"/>
    </row>
    <row r="28" spans="1:87" x14ac:dyDescent="0.2">
      <c r="A28" s="8">
        <v>19</v>
      </c>
      <c r="B28" s="1125">
        <f>'Membership Record'!B29</f>
        <v>0</v>
      </c>
      <c r="C28" s="1125"/>
      <c r="D28" s="87">
        <f>'Membership Record'!G29+'Membership Record'!P29</f>
        <v>0</v>
      </c>
      <c r="E28" s="350">
        <f t="shared" si="7"/>
        <v>0</v>
      </c>
      <c r="F28" s="614">
        <f>'Membership Record'!H29+'Membership Record'!Q29</f>
        <v>0</v>
      </c>
      <c r="G28" s="615">
        <f t="shared" si="8"/>
        <v>0</v>
      </c>
      <c r="H28" s="614">
        <f>'Membership Record'!I29+'Membership Record'!R29</f>
        <v>0</v>
      </c>
      <c r="I28" s="616">
        <f t="shared" si="9"/>
        <v>0</v>
      </c>
      <c r="J28" s="614">
        <f>'Membership Record'!J29+'Membership Record'!S29</f>
        <v>0</v>
      </c>
      <c r="K28" s="618">
        <f t="shared" si="10"/>
        <v>0</v>
      </c>
      <c r="L28" s="618">
        <f>'Membership Record'!K29+'Membership Record'!T29</f>
        <v>0</v>
      </c>
      <c r="M28" s="615">
        <f t="shared" si="11"/>
        <v>0</v>
      </c>
      <c r="N28" s="614">
        <f>'Membership Record'!L29+'Membership Record'!U29</f>
        <v>0</v>
      </c>
      <c r="O28" s="619">
        <f t="shared" si="12"/>
        <v>0</v>
      </c>
      <c r="P28" s="346"/>
      <c r="Q28" s="93"/>
      <c r="R28" s="94"/>
      <c r="S28" s="94"/>
      <c r="T28" s="330"/>
      <c r="U28" s="347"/>
      <c r="V28" s="92"/>
      <c r="W28" s="94"/>
      <c r="X28" s="95"/>
      <c r="Y28" s="95"/>
      <c r="Z28" s="95"/>
      <c r="AA28" s="94"/>
      <c r="AB28" s="346"/>
      <c r="AC28" s="93"/>
      <c r="AD28" s="94"/>
      <c r="AE28" s="94"/>
      <c r="AF28" s="330"/>
      <c r="AG28" s="347"/>
      <c r="AH28" s="88"/>
      <c r="AI28" s="94"/>
      <c r="AJ28" s="95"/>
      <c r="AK28" s="95"/>
      <c r="AL28" s="95"/>
      <c r="AM28" s="90"/>
      <c r="AN28" s="346"/>
      <c r="AO28" s="93"/>
      <c r="AP28" s="94"/>
      <c r="AQ28" s="94"/>
      <c r="AR28" s="330"/>
      <c r="AS28" s="345"/>
      <c r="AT28" s="92"/>
      <c r="AU28" s="94"/>
      <c r="AV28" s="95"/>
      <c r="AW28" s="95"/>
      <c r="AX28" s="95"/>
      <c r="AY28" s="90"/>
      <c r="AZ28" s="346"/>
      <c r="BA28" s="93"/>
      <c r="BB28" s="94"/>
      <c r="BC28" s="94"/>
      <c r="BD28" s="330"/>
      <c r="BE28" s="347"/>
      <c r="BF28" s="92"/>
      <c r="BG28" s="94"/>
      <c r="BH28" s="95"/>
      <c r="BI28" s="95"/>
      <c r="BJ28" s="95"/>
      <c r="BK28" s="94"/>
      <c r="BL28" s="346"/>
      <c r="BM28" s="93"/>
      <c r="BN28" s="94"/>
      <c r="BO28" s="94"/>
      <c r="BP28" s="330"/>
      <c r="BQ28" s="347"/>
      <c r="BR28" s="92"/>
      <c r="BS28" s="94"/>
      <c r="BT28" s="95"/>
      <c r="BU28" s="95"/>
      <c r="BV28" s="95"/>
      <c r="BW28" s="94"/>
      <c r="BX28" s="346"/>
      <c r="BY28" s="93"/>
      <c r="BZ28" s="94"/>
      <c r="CA28" s="94"/>
      <c r="CB28" s="330"/>
      <c r="CC28" s="347"/>
      <c r="CD28" s="92"/>
      <c r="CE28" s="94"/>
      <c r="CF28" s="95"/>
      <c r="CG28" s="95"/>
      <c r="CH28" s="95"/>
      <c r="CI28" s="94"/>
    </row>
    <row r="29" spans="1:87" x14ac:dyDescent="0.2">
      <c r="A29" s="8">
        <v>20</v>
      </c>
      <c r="B29" s="1125">
        <f>'Membership Record'!B30</f>
        <v>0</v>
      </c>
      <c r="C29" s="1125"/>
      <c r="D29" s="87">
        <f>'Membership Record'!G30+'Membership Record'!P30</f>
        <v>0</v>
      </c>
      <c r="E29" s="350">
        <f t="shared" si="7"/>
        <v>0</v>
      </c>
      <c r="F29" s="614">
        <f>'Membership Record'!H30+'Membership Record'!Q30</f>
        <v>0</v>
      </c>
      <c r="G29" s="615">
        <f t="shared" si="8"/>
        <v>0</v>
      </c>
      <c r="H29" s="614">
        <f>'Membership Record'!I30+'Membership Record'!R30</f>
        <v>0</v>
      </c>
      <c r="I29" s="616">
        <f t="shared" si="9"/>
        <v>0</v>
      </c>
      <c r="J29" s="614">
        <f>'Membership Record'!J30+'Membership Record'!S30</f>
        <v>0</v>
      </c>
      <c r="K29" s="618">
        <f t="shared" si="10"/>
        <v>0</v>
      </c>
      <c r="L29" s="618">
        <f>'Membership Record'!K30+'Membership Record'!T30</f>
        <v>0</v>
      </c>
      <c r="M29" s="615">
        <f t="shared" si="11"/>
        <v>0</v>
      </c>
      <c r="N29" s="614">
        <f>'Membership Record'!L30+'Membership Record'!U30</f>
        <v>0</v>
      </c>
      <c r="O29" s="619">
        <f t="shared" si="12"/>
        <v>0</v>
      </c>
      <c r="P29" s="346"/>
      <c r="Q29" s="93"/>
      <c r="R29" s="94"/>
      <c r="S29" s="94"/>
      <c r="T29" s="330"/>
      <c r="U29" s="347"/>
      <c r="V29" s="92"/>
      <c r="W29" s="94"/>
      <c r="X29" s="95"/>
      <c r="Y29" s="95"/>
      <c r="Z29" s="95"/>
      <c r="AA29" s="94"/>
      <c r="AB29" s="346"/>
      <c r="AC29" s="93"/>
      <c r="AD29" s="94"/>
      <c r="AE29" s="94"/>
      <c r="AF29" s="330"/>
      <c r="AG29" s="347"/>
      <c r="AH29" s="92"/>
      <c r="AI29" s="94"/>
      <c r="AJ29" s="95"/>
      <c r="AK29" s="95"/>
      <c r="AL29" s="95"/>
      <c r="AM29" s="94"/>
      <c r="AN29" s="346"/>
      <c r="AO29" s="93"/>
      <c r="AP29" s="94"/>
      <c r="AQ29" s="94"/>
      <c r="AR29" s="330"/>
      <c r="AS29" s="347"/>
      <c r="AT29" s="92"/>
      <c r="AU29" s="94"/>
      <c r="AV29" s="95"/>
      <c r="AW29" s="95"/>
      <c r="AX29" s="95"/>
      <c r="AY29" s="94"/>
      <c r="AZ29" s="346"/>
      <c r="BA29" s="93"/>
      <c r="BB29" s="94"/>
      <c r="BC29" s="94"/>
      <c r="BD29" s="330"/>
      <c r="BE29" s="347"/>
      <c r="BF29" s="92"/>
      <c r="BG29" s="94"/>
      <c r="BH29" s="95"/>
      <c r="BI29" s="95"/>
      <c r="BJ29" s="95"/>
      <c r="BK29" s="94"/>
      <c r="BL29" s="346"/>
      <c r="BM29" s="93"/>
      <c r="BN29" s="94"/>
      <c r="BO29" s="94"/>
      <c r="BP29" s="330"/>
      <c r="BQ29" s="347"/>
      <c r="BR29" s="92"/>
      <c r="BS29" s="94"/>
      <c r="BT29" s="95"/>
      <c r="BU29" s="95"/>
      <c r="BV29" s="95"/>
      <c r="BW29" s="94"/>
      <c r="BX29" s="346"/>
      <c r="BY29" s="93"/>
      <c r="BZ29" s="94"/>
      <c r="CA29" s="94"/>
      <c r="CB29" s="330"/>
      <c r="CC29" s="347"/>
      <c r="CD29" s="92"/>
      <c r="CE29" s="94"/>
      <c r="CF29" s="95"/>
      <c r="CG29" s="95"/>
      <c r="CH29" s="95"/>
      <c r="CI29" s="94"/>
    </row>
    <row r="30" spans="1:87" x14ac:dyDescent="0.2">
      <c r="A30" s="8">
        <v>21</v>
      </c>
      <c r="B30" s="1125">
        <f>'Membership Record'!B31</f>
        <v>0</v>
      </c>
      <c r="C30" s="1125"/>
      <c r="D30" s="87">
        <f>'Membership Record'!G31+'Membership Record'!P31</f>
        <v>0</v>
      </c>
      <c r="E30" s="350">
        <f t="shared" si="7"/>
        <v>0</v>
      </c>
      <c r="F30" s="614">
        <f>'Membership Record'!H31+'Membership Record'!Q31</f>
        <v>0</v>
      </c>
      <c r="G30" s="615">
        <f t="shared" si="8"/>
        <v>0</v>
      </c>
      <c r="H30" s="614">
        <f>'Membership Record'!I31+'Membership Record'!R31</f>
        <v>0</v>
      </c>
      <c r="I30" s="616">
        <f t="shared" si="9"/>
        <v>0</v>
      </c>
      <c r="J30" s="614">
        <f>'Membership Record'!J31+'Membership Record'!S31</f>
        <v>0</v>
      </c>
      <c r="K30" s="618">
        <f t="shared" si="10"/>
        <v>0</v>
      </c>
      <c r="L30" s="618">
        <f>'Membership Record'!K31+'Membership Record'!T31</f>
        <v>0</v>
      </c>
      <c r="M30" s="615">
        <f t="shared" si="11"/>
        <v>0</v>
      </c>
      <c r="N30" s="614">
        <f>'Membership Record'!L31+'Membership Record'!U31</f>
        <v>0</v>
      </c>
      <c r="O30" s="619">
        <f t="shared" si="12"/>
        <v>0</v>
      </c>
      <c r="P30" s="346"/>
      <c r="Q30" s="93"/>
      <c r="R30" s="94"/>
      <c r="S30" s="94"/>
      <c r="T30" s="330"/>
      <c r="U30" s="347"/>
      <c r="V30" s="92"/>
      <c r="W30" s="94"/>
      <c r="X30" s="95"/>
      <c r="Y30" s="95"/>
      <c r="Z30" s="95"/>
      <c r="AA30" s="94"/>
      <c r="AB30" s="346"/>
      <c r="AC30" s="93"/>
      <c r="AD30" s="94"/>
      <c r="AE30" s="94"/>
      <c r="AF30" s="330"/>
      <c r="AG30" s="347"/>
      <c r="AH30" s="92"/>
      <c r="AI30" s="94"/>
      <c r="AJ30" s="95"/>
      <c r="AK30" s="95"/>
      <c r="AL30" s="95"/>
      <c r="AM30" s="94"/>
      <c r="AN30" s="346"/>
      <c r="AO30" s="93"/>
      <c r="AP30" s="94"/>
      <c r="AQ30" s="94"/>
      <c r="AR30" s="330"/>
      <c r="AS30" s="347"/>
      <c r="AT30" s="92"/>
      <c r="AU30" s="94"/>
      <c r="AV30" s="95"/>
      <c r="AW30" s="95"/>
      <c r="AX30" s="95"/>
      <c r="AY30" s="94"/>
      <c r="AZ30" s="346"/>
      <c r="BA30" s="93"/>
      <c r="BB30" s="94"/>
      <c r="BC30" s="94"/>
      <c r="BD30" s="330"/>
      <c r="BE30" s="347"/>
      <c r="BF30" s="92"/>
      <c r="BG30" s="94"/>
      <c r="BH30" s="95"/>
      <c r="BI30" s="95"/>
      <c r="BJ30" s="95"/>
      <c r="BK30" s="94"/>
      <c r="BL30" s="346"/>
      <c r="BM30" s="93"/>
      <c r="BN30" s="94"/>
      <c r="BO30" s="94"/>
      <c r="BP30" s="330"/>
      <c r="BQ30" s="347"/>
      <c r="BR30" s="92"/>
      <c r="BS30" s="94"/>
      <c r="BT30" s="95"/>
      <c r="BU30" s="95"/>
      <c r="BV30" s="95"/>
      <c r="BW30" s="94"/>
      <c r="BX30" s="346"/>
      <c r="BY30" s="93"/>
      <c r="BZ30" s="94"/>
      <c r="CA30" s="94"/>
      <c r="CB30" s="330"/>
      <c r="CC30" s="347"/>
      <c r="CD30" s="92"/>
      <c r="CE30" s="94"/>
      <c r="CF30" s="95"/>
      <c r="CG30" s="95"/>
      <c r="CH30" s="95"/>
      <c r="CI30" s="94"/>
    </row>
    <row r="31" spans="1:87" x14ac:dyDescent="0.2">
      <c r="A31" s="8">
        <v>22</v>
      </c>
      <c r="B31" s="1125">
        <f>'Membership Record'!B32</f>
        <v>0</v>
      </c>
      <c r="C31" s="1125"/>
      <c r="D31" s="87">
        <f>'Membership Record'!G32+'Membership Record'!P32</f>
        <v>0</v>
      </c>
      <c r="E31" s="350">
        <f t="shared" si="7"/>
        <v>0</v>
      </c>
      <c r="F31" s="614">
        <f>'Membership Record'!H32+'Membership Record'!Q32</f>
        <v>0</v>
      </c>
      <c r="G31" s="615">
        <f t="shared" si="8"/>
        <v>0</v>
      </c>
      <c r="H31" s="614">
        <f>'Membership Record'!I32+'Membership Record'!R32</f>
        <v>0</v>
      </c>
      <c r="I31" s="616">
        <f t="shared" si="9"/>
        <v>0</v>
      </c>
      <c r="J31" s="614">
        <f>'Membership Record'!J32+'Membership Record'!S32</f>
        <v>0</v>
      </c>
      <c r="K31" s="618">
        <f t="shared" si="10"/>
        <v>0</v>
      </c>
      <c r="L31" s="618">
        <f>'Membership Record'!K32+'Membership Record'!T32</f>
        <v>0</v>
      </c>
      <c r="M31" s="615">
        <f t="shared" si="11"/>
        <v>0</v>
      </c>
      <c r="N31" s="614">
        <f>'Membership Record'!L32+'Membership Record'!U32</f>
        <v>0</v>
      </c>
      <c r="O31" s="619">
        <f t="shared" si="12"/>
        <v>0</v>
      </c>
      <c r="P31" s="346"/>
      <c r="Q31" s="93"/>
      <c r="R31" s="94"/>
      <c r="S31" s="94"/>
      <c r="T31" s="330"/>
      <c r="U31" s="347"/>
      <c r="V31" s="92"/>
      <c r="W31" s="94"/>
      <c r="X31" s="95"/>
      <c r="Y31" s="95"/>
      <c r="Z31" s="95"/>
      <c r="AA31" s="94"/>
      <c r="AB31" s="346"/>
      <c r="AC31" s="93"/>
      <c r="AD31" s="94"/>
      <c r="AE31" s="94"/>
      <c r="AF31" s="330"/>
      <c r="AG31" s="347"/>
      <c r="AH31" s="92"/>
      <c r="AI31" s="94"/>
      <c r="AJ31" s="95"/>
      <c r="AK31" s="95"/>
      <c r="AL31" s="95"/>
      <c r="AM31" s="94"/>
      <c r="AN31" s="346"/>
      <c r="AO31" s="93"/>
      <c r="AP31" s="94"/>
      <c r="AQ31" s="94"/>
      <c r="AR31" s="330"/>
      <c r="AS31" s="347"/>
      <c r="AT31" s="92"/>
      <c r="AU31" s="94"/>
      <c r="AV31" s="95"/>
      <c r="AW31" s="95"/>
      <c r="AX31" s="95"/>
      <c r="AY31" s="94"/>
      <c r="AZ31" s="346"/>
      <c r="BA31" s="93"/>
      <c r="BB31" s="94"/>
      <c r="BC31" s="94"/>
      <c r="BD31" s="330"/>
      <c r="BE31" s="347"/>
      <c r="BF31" s="92"/>
      <c r="BG31" s="94"/>
      <c r="BH31" s="95"/>
      <c r="BI31" s="95"/>
      <c r="BJ31" s="95"/>
      <c r="BK31" s="94"/>
      <c r="BL31" s="346"/>
      <c r="BM31" s="93"/>
      <c r="BN31" s="94"/>
      <c r="BO31" s="94"/>
      <c r="BP31" s="330"/>
      <c r="BQ31" s="347"/>
      <c r="BR31" s="92"/>
      <c r="BS31" s="94"/>
      <c r="BT31" s="95"/>
      <c r="BU31" s="95"/>
      <c r="BV31" s="95"/>
      <c r="BW31" s="94"/>
      <c r="BX31" s="346"/>
      <c r="BY31" s="93"/>
      <c r="BZ31" s="94"/>
      <c r="CA31" s="94"/>
      <c r="CB31" s="330"/>
      <c r="CC31" s="347"/>
      <c r="CD31" s="92"/>
      <c r="CE31" s="94"/>
      <c r="CF31" s="95"/>
      <c r="CG31" s="95"/>
      <c r="CH31" s="95"/>
      <c r="CI31" s="94"/>
    </row>
    <row r="32" spans="1:87" x14ac:dyDescent="0.2">
      <c r="A32" s="8">
        <v>23</v>
      </c>
      <c r="B32" s="1125">
        <f>'Membership Record'!B33</f>
        <v>0</v>
      </c>
      <c r="C32" s="1125"/>
      <c r="D32" s="87">
        <f>'Membership Record'!G33+'Membership Record'!P33</f>
        <v>0</v>
      </c>
      <c r="E32" s="350">
        <f t="shared" si="7"/>
        <v>0</v>
      </c>
      <c r="F32" s="614">
        <f>'Membership Record'!H33+'Membership Record'!Q33</f>
        <v>0</v>
      </c>
      <c r="G32" s="615">
        <f t="shared" si="8"/>
        <v>0</v>
      </c>
      <c r="H32" s="614">
        <f>'Membership Record'!I33+'Membership Record'!R33</f>
        <v>0</v>
      </c>
      <c r="I32" s="616">
        <f t="shared" si="9"/>
        <v>0</v>
      </c>
      <c r="J32" s="614">
        <f>'Membership Record'!J33+'Membership Record'!S33</f>
        <v>0</v>
      </c>
      <c r="K32" s="618">
        <f t="shared" si="10"/>
        <v>0</v>
      </c>
      <c r="L32" s="618">
        <f>'Membership Record'!K33+'Membership Record'!T33</f>
        <v>0</v>
      </c>
      <c r="M32" s="615">
        <f t="shared" si="11"/>
        <v>0</v>
      </c>
      <c r="N32" s="614">
        <f>'Membership Record'!L33+'Membership Record'!U33</f>
        <v>0</v>
      </c>
      <c r="O32" s="619">
        <f t="shared" si="12"/>
        <v>0</v>
      </c>
      <c r="P32" s="346"/>
      <c r="Q32" s="93"/>
      <c r="R32" s="94"/>
      <c r="S32" s="94"/>
      <c r="T32" s="330"/>
      <c r="U32" s="347"/>
      <c r="V32" s="92"/>
      <c r="W32" s="94"/>
      <c r="X32" s="95"/>
      <c r="Y32" s="95"/>
      <c r="Z32" s="95"/>
      <c r="AA32" s="94"/>
      <c r="AB32" s="346"/>
      <c r="AC32" s="93"/>
      <c r="AD32" s="94"/>
      <c r="AE32" s="94"/>
      <c r="AF32" s="330"/>
      <c r="AG32" s="347"/>
      <c r="AH32" s="92"/>
      <c r="AI32" s="94"/>
      <c r="AJ32" s="95"/>
      <c r="AK32" s="95"/>
      <c r="AL32" s="95"/>
      <c r="AM32" s="94"/>
      <c r="AN32" s="346"/>
      <c r="AO32" s="93"/>
      <c r="AP32" s="94"/>
      <c r="AQ32" s="94"/>
      <c r="AR32" s="330"/>
      <c r="AS32" s="347"/>
      <c r="AT32" s="92"/>
      <c r="AU32" s="94"/>
      <c r="AV32" s="95"/>
      <c r="AW32" s="95"/>
      <c r="AX32" s="95"/>
      <c r="AY32" s="94"/>
      <c r="AZ32" s="346"/>
      <c r="BA32" s="93"/>
      <c r="BB32" s="94"/>
      <c r="BC32" s="94"/>
      <c r="BD32" s="330"/>
      <c r="BE32" s="347"/>
      <c r="BF32" s="92"/>
      <c r="BG32" s="94"/>
      <c r="BH32" s="95"/>
      <c r="BI32" s="95"/>
      <c r="BJ32" s="95"/>
      <c r="BK32" s="94"/>
      <c r="BL32" s="346"/>
      <c r="BM32" s="93"/>
      <c r="BN32" s="94"/>
      <c r="BO32" s="94"/>
      <c r="BP32" s="330"/>
      <c r="BQ32" s="347"/>
      <c r="BR32" s="92"/>
      <c r="BS32" s="94"/>
      <c r="BT32" s="95"/>
      <c r="BU32" s="95"/>
      <c r="BV32" s="95"/>
      <c r="BW32" s="94"/>
      <c r="BX32" s="346"/>
      <c r="BY32" s="93"/>
      <c r="BZ32" s="94"/>
      <c r="CA32" s="94"/>
      <c r="CB32" s="330"/>
      <c r="CC32" s="347"/>
      <c r="CD32" s="92"/>
      <c r="CE32" s="94"/>
      <c r="CF32" s="95"/>
      <c r="CG32" s="95"/>
      <c r="CH32" s="95"/>
      <c r="CI32" s="94"/>
    </row>
    <row r="33" spans="1:87" x14ac:dyDescent="0.2">
      <c r="A33" s="8">
        <v>24</v>
      </c>
      <c r="B33" s="1125">
        <f>'Membership Record'!B34</f>
        <v>0</v>
      </c>
      <c r="C33" s="1125"/>
      <c r="D33" s="87">
        <f>'Membership Record'!G34+'Membership Record'!P34</f>
        <v>0</v>
      </c>
      <c r="E33" s="350">
        <f t="shared" si="7"/>
        <v>0</v>
      </c>
      <c r="F33" s="614">
        <f>'Membership Record'!H34+'Membership Record'!Q34</f>
        <v>0</v>
      </c>
      <c r="G33" s="615">
        <f t="shared" si="8"/>
        <v>0</v>
      </c>
      <c r="H33" s="614">
        <f>'Membership Record'!I34+'Membership Record'!R34</f>
        <v>0</v>
      </c>
      <c r="I33" s="616">
        <f t="shared" si="9"/>
        <v>0</v>
      </c>
      <c r="J33" s="614">
        <f>'Membership Record'!J34+'Membership Record'!S34</f>
        <v>0</v>
      </c>
      <c r="K33" s="618">
        <f t="shared" si="10"/>
        <v>0</v>
      </c>
      <c r="L33" s="618">
        <f>'Membership Record'!K34+'Membership Record'!T34</f>
        <v>0</v>
      </c>
      <c r="M33" s="615">
        <f t="shared" si="11"/>
        <v>0</v>
      </c>
      <c r="N33" s="614">
        <f>'Membership Record'!L34+'Membership Record'!U34</f>
        <v>0</v>
      </c>
      <c r="O33" s="619">
        <f t="shared" si="12"/>
        <v>0</v>
      </c>
      <c r="P33" s="346"/>
      <c r="Q33" s="93"/>
      <c r="R33" s="94"/>
      <c r="S33" s="94"/>
      <c r="T33" s="330"/>
      <c r="U33" s="347"/>
      <c r="V33" s="92"/>
      <c r="W33" s="94"/>
      <c r="X33" s="95"/>
      <c r="Y33" s="95"/>
      <c r="Z33" s="95"/>
      <c r="AA33" s="94"/>
      <c r="AB33" s="346"/>
      <c r="AC33" s="93"/>
      <c r="AD33" s="94"/>
      <c r="AE33" s="94"/>
      <c r="AF33" s="330"/>
      <c r="AG33" s="347"/>
      <c r="AH33" s="92"/>
      <c r="AI33" s="94"/>
      <c r="AJ33" s="95"/>
      <c r="AK33" s="95"/>
      <c r="AL33" s="95"/>
      <c r="AM33" s="94"/>
      <c r="AN33" s="346"/>
      <c r="AO33" s="93"/>
      <c r="AP33" s="94"/>
      <c r="AQ33" s="94"/>
      <c r="AR33" s="330"/>
      <c r="AS33" s="347"/>
      <c r="AT33" s="92"/>
      <c r="AU33" s="94"/>
      <c r="AV33" s="95"/>
      <c r="AW33" s="95"/>
      <c r="AX33" s="95"/>
      <c r="AY33" s="94"/>
      <c r="AZ33" s="346"/>
      <c r="BA33" s="93"/>
      <c r="BB33" s="94"/>
      <c r="BC33" s="94"/>
      <c r="BD33" s="330"/>
      <c r="BE33" s="347"/>
      <c r="BF33" s="92"/>
      <c r="BG33" s="94"/>
      <c r="BH33" s="95"/>
      <c r="BI33" s="95"/>
      <c r="BJ33" s="95"/>
      <c r="BK33" s="94"/>
      <c r="BL33" s="346"/>
      <c r="BM33" s="93"/>
      <c r="BN33" s="94"/>
      <c r="BO33" s="94"/>
      <c r="BP33" s="330"/>
      <c r="BQ33" s="347"/>
      <c r="BR33" s="92"/>
      <c r="BS33" s="94"/>
      <c r="BT33" s="95"/>
      <c r="BU33" s="95"/>
      <c r="BV33" s="95"/>
      <c r="BW33" s="94"/>
      <c r="BX33" s="346"/>
      <c r="BY33" s="93"/>
      <c r="BZ33" s="94"/>
      <c r="CA33" s="94"/>
      <c r="CB33" s="330"/>
      <c r="CC33" s="347"/>
      <c r="CD33" s="92"/>
      <c r="CE33" s="94"/>
      <c r="CF33" s="95"/>
      <c r="CG33" s="95"/>
      <c r="CH33" s="95"/>
      <c r="CI33" s="94"/>
    </row>
    <row r="34" spans="1:87" x14ac:dyDescent="0.2">
      <c r="A34" s="8">
        <v>25</v>
      </c>
      <c r="B34" s="1125">
        <f>'Membership Record'!B35</f>
        <v>0</v>
      </c>
      <c r="C34" s="1125"/>
      <c r="D34" s="87">
        <f>'Membership Record'!G35+'Membership Record'!P35</f>
        <v>0</v>
      </c>
      <c r="E34" s="350">
        <f t="shared" si="7"/>
        <v>0</v>
      </c>
      <c r="F34" s="614">
        <f>'Membership Record'!H35+'Membership Record'!Q35</f>
        <v>0</v>
      </c>
      <c r="G34" s="615">
        <f t="shared" si="8"/>
        <v>0</v>
      </c>
      <c r="H34" s="614">
        <f>'Membership Record'!I35+'Membership Record'!R35</f>
        <v>0</v>
      </c>
      <c r="I34" s="616">
        <f t="shared" si="9"/>
        <v>0</v>
      </c>
      <c r="J34" s="614">
        <f>'Membership Record'!J35+'Membership Record'!S35</f>
        <v>0</v>
      </c>
      <c r="K34" s="618">
        <f t="shared" si="10"/>
        <v>0</v>
      </c>
      <c r="L34" s="618">
        <f>'Membership Record'!K35+'Membership Record'!T35</f>
        <v>0</v>
      </c>
      <c r="M34" s="615">
        <f t="shared" si="11"/>
        <v>0</v>
      </c>
      <c r="N34" s="614">
        <f>'Membership Record'!L35+'Membership Record'!U35</f>
        <v>0</v>
      </c>
      <c r="O34" s="619">
        <f t="shared" si="12"/>
        <v>0</v>
      </c>
      <c r="P34" s="346"/>
      <c r="Q34" s="93"/>
      <c r="R34" s="94"/>
      <c r="S34" s="94"/>
      <c r="T34" s="330"/>
      <c r="U34" s="347"/>
      <c r="V34" s="92"/>
      <c r="W34" s="94"/>
      <c r="X34" s="95"/>
      <c r="Y34" s="95"/>
      <c r="Z34" s="95"/>
      <c r="AA34" s="94"/>
      <c r="AB34" s="346"/>
      <c r="AC34" s="93"/>
      <c r="AD34" s="94"/>
      <c r="AE34" s="94"/>
      <c r="AF34" s="330"/>
      <c r="AG34" s="347"/>
      <c r="AH34" s="92"/>
      <c r="AI34" s="94"/>
      <c r="AJ34" s="95"/>
      <c r="AK34" s="95"/>
      <c r="AL34" s="95"/>
      <c r="AM34" s="94"/>
      <c r="AN34" s="346"/>
      <c r="AO34" s="93"/>
      <c r="AP34" s="94"/>
      <c r="AQ34" s="94"/>
      <c r="AR34" s="330"/>
      <c r="AS34" s="347"/>
      <c r="AT34" s="92"/>
      <c r="AU34" s="94"/>
      <c r="AV34" s="95"/>
      <c r="AW34" s="95"/>
      <c r="AX34" s="95"/>
      <c r="AY34" s="94"/>
      <c r="AZ34" s="346"/>
      <c r="BA34" s="93"/>
      <c r="BB34" s="94"/>
      <c r="BC34" s="94"/>
      <c r="BD34" s="330"/>
      <c r="BE34" s="347"/>
      <c r="BF34" s="92"/>
      <c r="BG34" s="94"/>
      <c r="BH34" s="95"/>
      <c r="BI34" s="95"/>
      <c r="BJ34" s="95"/>
      <c r="BK34" s="94"/>
      <c r="BL34" s="346"/>
      <c r="BM34" s="93"/>
      <c r="BN34" s="94"/>
      <c r="BO34" s="94"/>
      <c r="BP34" s="330"/>
      <c r="BQ34" s="347"/>
      <c r="BR34" s="92"/>
      <c r="BS34" s="94"/>
      <c r="BT34" s="95"/>
      <c r="BU34" s="95"/>
      <c r="BV34" s="95"/>
      <c r="BW34" s="94"/>
      <c r="BX34" s="346"/>
      <c r="BY34" s="93"/>
      <c r="BZ34" s="94"/>
      <c r="CA34" s="94"/>
      <c r="CB34" s="330"/>
      <c r="CC34" s="347"/>
      <c r="CD34" s="92"/>
      <c r="CE34" s="94"/>
      <c r="CF34" s="95"/>
      <c r="CG34" s="95"/>
      <c r="CH34" s="95"/>
      <c r="CI34" s="94"/>
    </row>
    <row r="35" spans="1:87" x14ac:dyDescent="0.2">
      <c r="A35" s="8">
        <v>26</v>
      </c>
      <c r="B35" s="1125">
        <f>'Membership Record'!B36</f>
        <v>0</v>
      </c>
      <c r="C35" s="1125"/>
      <c r="D35" s="87">
        <f>'Membership Record'!G36+'Membership Record'!P36</f>
        <v>0</v>
      </c>
      <c r="E35" s="350">
        <f t="shared" si="7"/>
        <v>0</v>
      </c>
      <c r="F35" s="614">
        <f>'Membership Record'!H36+'Membership Record'!Q36</f>
        <v>0</v>
      </c>
      <c r="G35" s="615">
        <f t="shared" si="8"/>
        <v>0</v>
      </c>
      <c r="H35" s="614">
        <f>'Membership Record'!I36+'Membership Record'!R36</f>
        <v>0</v>
      </c>
      <c r="I35" s="616">
        <f t="shared" si="9"/>
        <v>0</v>
      </c>
      <c r="J35" s="614">
        <f>'Membership Record'!J36+'Membership Record'!S36</f>
        <v>0</v>
      </c>
      <c r="K35" s="618">
        <f t="shared" si="10"/>
        <v>0</v>
      </c>
      <c r="L35" s="618">
        <f>'Membership Record'!K36+'Membership Record'!T36</f>
        <v>0</v>
      </c>
      <c r="M35" s="615">
        <f t="shared" si="11"/>
        <v>0</v>
      </c>
      <c r="N35" s="614">
        <f>'Membership Record'!L36+'Membership Record'!U36</f>
        <v>0</v>
      </c>
      <c r="O35" s="619">
        <f t="shared" si="12"/>
        <v>0</v>
      </c>
      <c r="P35" s="346"/>
      <c r="Q35" s="93"/>
      <c r="R35" s="94"/>
      <c r="S35" s="94"/>
      <c r="T35" s="330"/>
      <c r="U35" s="347"/>
      <c r="V35" s="92"/>
      <c r="W35" s="94"/>
      <c r="X35" s="95"/>
      <c r="Y35" s="95"/>
      <c r="Z35" s="95"/>
      <c r="AA35" s="94"/>
      <c r="AB35" s="346"/>
      <c r="AC35" s="93"/>
      <c r="AD35" s="94"/>
      <c r="AE35" s="94"/>
      <c r="AF35" s="330"/>
      <c r="AG35" s="347"/>
      <c r="AH35" s="92"/>
      <c r="AI35" s="94"/>
      <c r="AJ35" s="95"/>
      <c r="AK35" s="95"/>
      <c r="AL35" s="95"/>
      <c r="AM35" s="94"/>
      <c r="AN35" s="346"/>
      <c r="AO35" s="93"/>
      <c r="AP35" s="94"/>
      <c r="AQ35" s="94"/>
      <c r="AR35" s="330"/>
      <c r="AS35" s="347"/>
      <c r="AT35" s="92"/>
      <c r="AU35" s="94"/>
      <c r="AV35" s="95"/>
      <c r="AW35" s="95"/>
      <c r="AX35" s="95"/>
      <c r="AY35" s="94"/>
      <c r="AZ35" s="346"/>
      <c r="BA35" s="93"/>
      <c r="BB35" s="94"/>
      <c r="BC35" s="94"/>
      <c r="BD35" s="330"/>
      <c r="BE35" s="347"/>
      <c r="BF35" s="92"/>
      <c r="BG35" s="94"/>
      <c r="BH35" s="95"/>
      <c r="BI35" s="95"/>
      <c r="BJ35" s="95"/>
      <c r="BK35" s="94"/>
      <c r="BL35" s="346"/>
      <c r="BM35" s="93"/>
      <c r="BN35" s="94"/>
      <c r="BO35" s="94"/>
      <c r="BP35" s="330"/>
      <c r="BQ35" s="347"/>
      <c r="BR35" s="92"/>
      <c r="BS35" s="94"/>
      <c r="BT35" s="95"/>
      <c r="BU35" s="95"/>
      <c r="BV35" s="95"/>
      <c r="BW35" s="94"/>
      <c r="BX35" s="346"/>
      <c r="BY35" s="93"/>
      <c r="BZ35" s="94"/>
      <c r="CA35" s="94"/>
      <c r="CB35" s="330"/>
      <c r="CC35" s="347"/>
      <c r="CD35" s="92"/>
      <c r="CE35" s="94"/>
      <c r="CF35" s="95"/>
      <c r="CG35" s="95"/>
      <c r="CH35" s="95"/>
      <c r="CI35" s="94"/>
    </row>
    <row r="36" spans="1:87" x14ac:dyDescent="0.2">
      <c r="A36" s="8">
        <v>27</v>
      </c>
      <c r="B36" s="1125">
        <f>'Membership Record'!B37</f>
        <v>0</v>
      </c>
      <c r="C36" s="1125"/>
      <c r="D36" s="87">
        <f>'Membership Record'!G37+'Membership Record'!P37</f>
        <v>0</v>
      </c>
      <c r="E36" s="350">
        <f t="shared" si="7"/>
        <v>0</v>
      </c>
      <c r="F36" s="614">
        <f>'Membership Record'!H37+'Membership Record'!Q37</f>
        <v>0</v>
      </c>
      <c r="G36" s="615">
        <f t="shared" si="8"/>
        <v>0</v>
      </c>
      <c r="H36" s="614">
        <f>'Membership Record'!I37+'Membership Record'!R37</f>
        <v>0</v>
      </c>
      <c r="I36" s="616">
        <f t="shared" si="9"/>
        <v>0</v>
      </c>
      <c r="J36" s="614">
        <f>'Membership Record'!J37+'Membership Record'!S37</f>
        <v>0</v>
      </c>
      <c r="K36" s="618">
        <f t="shared" si="10"/>
        <v>0</v>
      </c>
      <c r="L36" s="618">
        <f>'Membership Record'!K37+'Membership Record'!T37</f>
        <v>0</v>
      </c>
      <c r="M36" s="615">
        <f t="shared" si="11"/>
        <v>0</v>
      </c>
      <c r="N36" s="614">
        <f>'Membership Record'!L37+'Membership Record'!U37</f>
        <v>0</v>
      </c>
      <c r="O36" s="619">
        <f t="shared" si="12"/>
        <v>0</v>
      </c>
      <c r="P36" s="346"/>
      <c r="Q36" s="93"/>
      <c r="R36" s="94"/>
      <c r="S36" s="94"/>
      <c r="T36" s="330"/>
      <c r="U36" s="347"/>
      <c r="V36" s="92"/>
      <c r="W36" s="94"/>
      <c r="X36" s="95"/>
      <c r="Y36" s="95"/>
      <c r="Z36" s="95"/>
      <c r="AA36" s="94"/>
      <c r="AB36" s="346"/>
      <c r="AC36" s="93"/>
      <c r="AD36" s="94"/>
      <c r="AE36" s="94"/>
      <c r="AF36" s="330"/>
      <c r="AG36" s="347"/>
      <c r="AH36" s="92"/>
      <c r="AI36" s="94"/>
      <c r="AJ36" s="95"/>
      <c r="AK36" s="95"/>
      <c r="AL36" s="95"/>
      <c r="AM36" s="94"/>
      <c r="AN36" s="346"/>
      <c r="AO36" s="93"/>
      <c r="AP36" s="94"/>
      <c r="AQ36" s="94"/>
      <c r="AR36" s="330"/>
      <c r="AS36" s="347"/>
      <c r="AT36" s="92"/>
      <c r="AU36" s="94"/>
      <c r="AV36" s="95"/>
      <c r="AW36" s="95"/>
      <c r="AX36" s="95"/>
      <c r="AY36" s="94"/>
      <c r="AZ36" s="346"/>
      <c r="BA36" s="93"/>
      <c r="BB36" s="94"/>
      <c r="BC36" s="94"/>
      <c r="BD36" s="330"/>
      <c r="BE36" s="347"/>
      <c r="BF36" s="92"/>
      <c r="BG36" s="94"/>
      <c r="BH36" s="95"/>
      <c r="BI36" s="95"/>
      <c r="BJ36" s="95"/>
      <c r="BK36" s="94"/>
      <c r="BL36" s="346"/>
      <c r="BM36" s="93"/>
      <c r="BN36" s="94"/>
      <c r="BO36" s="94"/>
      <c r="BP36" s="330"/>
      <c r="BQ36" s="347"/>
      <c r="BR36" s="92"/>
      <c r="BS36" s="94"/>
      <c r="BT36" s="95"/>
      <c r="BU36" s="95"/>
      <c r="BV36" s="95"/>
      <c r="BW36" s="94"/>
      <c r="BX36" s="346"/>
      <c r="BY36" s="93"/>
      <c r="BZ36" s="94"/>
      <c r="CA36" s="94"/>
      <c r="CB36" s="330"/>
      <c r="CC36" s="347"/>
      <c r="CD36" s="92"/>
      <c r="CE36" s="94"/>
      <c r="CF36" s="95"/>
      <c r="CG36" s="95"/>
      <c r="CH36" s="95"/>
      <c r="CI36" s="94"/>
    </row>
    <row r="37" spans="1:87" x14ac:dyDescent="0.2">
      <c r="A37" s="8">
        <v>28</v>
      </c>
      <c r="B37" s="1125">
        <f>'Membership Record'!B38</f>
        <v>0</v>
      </c>
      <c r="C37" s="1125"/>
      <c r="D37" s="87">
        <f>'Membership Record'!G38+'Membership Record'!P38</f>
        <v>0</v>
      </c>
      <c r="E37" s="350">
        <f t="shared" si="7"/>
        <v>0</v>
      </c>
      <c r="F37" s="614">
        <f>'Membership Record'!H38+'Membership Record'!Q38</f>
        <v>0</v>
      </c>
      <c r="G37" s="615">
        <f t="shared" si="8"/>
        <v>0</v>
      </c>
      <c r="H37" s="614">
        <f>'Membership Record'!I38+'Membership Record'!R38</f>
        <v>0</v>
      </c>
      <c r="I37" s="616">
        <f t="shared" si="9"/>
        <v>0</v>
      </c>
      <c r="J37" s="614">
        <f>'Membership Record'!J38+'Membership Record'!S38</f>
        <v>0</v>
      </c>
      <c r="K37" s="618">
        <f t="shared" si="10"/>
        <v>0</v>
      </c>
      <c r="L37" s="618">
        <f>'Membership Record'!K38+'Membership Record'!T38</f>
        <v>0</v>
      </c>
      <c r="M37" s="615">
        <f t="shared" si="11"/>
        <v>0</v>
      </c>
      <c r="N37" s="614">
        <f>'Membership Record'!L38+'Membership Record'!U38</f>
        <v>0</v>
      </c>
      <c r="O37" s="619">
        <f t="shared" si="12"/>
        <v>0</v>
      </c>
      <c r="P37" s="346"/>
      <c r="Q37" s="93"/>
      <c r="R37" s="94"/>
      <c r="S37" s="94"/>
      <c r="T37" s="330"/>
      <c r="U37" s="347"/>
      <c r="V37" s="92"/>
      <c r="W37" s="94"/>
      <c r="X37" s="95"/>
      <c r="Y37" s="95"/>
      <c r="Z37" s="95"/>
      <c r="AA37" s="94"/>
      <c r="AB37" s="346"/>
      <c r="AC37" s="93"/>
      <c r="AD37" s="94"/>
      <c r="AE37" s="94"/>
      <c r="AF37" s="330"/>
      <c r="AG37" s="347"/>
      <c r="AH37" s="92"/>
      <c r="AI37" s="94"/>
      <c r="AJ37" s="95"/>
      <c r="AK37" s="95"/>
      <c r="AL37" s="95"/>
      <c r="AM37" s="94"/>
      <c r="AN37" s="346"/>
      <c r="AO37" s="93"/>
      <c r="AP37" s="94"/>
      <c r="AQ37" s="94"/>
      <c r="AR37" s="330"/>
      <c r="AS37" s="347"/>
      <c r="AT37" s="92"/>
      <c r="AU37" s="94"/>
      <c r="AV37" s="95"/>
      <c r="AW37" s="95"/>
      <c r="AX37" s="95"/>
      <c r="AY37" s="94"/>
      <c r="AZ37" s="346"/>
      <c r="BA37" s="93"/>
      <c r="BB37" s="94"/>
      <c r="BC37" s="94"/>
      <c r="BD37" s="330"/>
      <c r="BE37" s="347"/>
      <c r="BF37" s="92"/>
      <c r="BG37" s="94"/>
      <c r="BH37" s="95"/>
      <c r="BI37" s="95"/>
      <c r="BJ37" s="95"/>
      <c r="BK37" s="94"/>
      <c r="BL37" s="346"/>
      <c r="BM37" s="93"/>
      <c r="BN37" s="94"/>
      <c r="BO37" s="94"/>
      <c r="BP37" s="330"/>
      <c r="BQ37" s="347"/>
      <c r="BR37" s="92"/>
      <c r="BS37" s="94"/>
      <c r="BT37" s="95"/>
      <c r="BU37" s="95"/>
      <c r="BV37" s="95"/>
      <c r="BW37" s="94"/>
      <c r="BX37" s="346"/>
      <c r="BY37" s="93"/>
      <c r="BZ37" s="94"/>
      <c r="CA37" s="94"/>
      <c r="CB37" s="330"/>
      <c r="CC37" s="347"/>
      <c r="CD37" s="92"/>
      <c r="CE37" s="94"/>
      <c r="CF37" s="95"/>
      <c r="CG37" s="95"/>
      <c r="CH37" s="95"/>
      <c r="CI37" s="94"/>
    </row>
    <row r="38" spans="1:87" x14ac:dyDescent="0.2">
      <c r="A38" s="8">
        <v>29</v>
      </c>
      <c r="B38" s="1125">
        <f>'Membership Record'!B39</f>
        <v>0</v>
      </c>
      <c r="C38" s="1125"/>
      <c r="D38" s="87">
        <f>'Membership Record'!G39+'Membership Record'!P39</f>
        <v>0</v>
      </c>
      <c r="E38" s="350">
        <f t="shared" si="7"/>
        <v>0</v>
      </c>
      <c r="F38" s="614">
        <f>'Membership Record'!H39+'Membership Record'!Q39</f>
        <v>0</v>
      </c>
      <c r="G38" s="615">
        <f t="shared" si="8"/>
        <v>0</v>
      </c>
      <c r="H38" s="614">
        <f>'Membership Record'!I39+'Membership Record'!R39</f>
        <v>0</v>
      </c>
      <c r="I38" s="616">
        <f t="shared" si="9"/>
        <v>0</v>
      </c>
      <c r="J38" s="614">
        <f>'Membership Record'!J39+'Membership Record'!S39</f>
        <v>0</v>
      </c>
      <c r="K38" s="618">
        <f t="shared" si="10"/>
        <v>0</v>
      </c>
      <c r="L38" s="618">
        <f>'Membership Record'!K39+'Membership Record'!T39</f>
        <v>0</v>
      </c>
      <c r="M38" s="615">
        <f t="shared" si="11"/>
        <v>0</v>
      </c>
      <c r="N38" s="614">
        <f>'Membership Record'!L39+'Membership Record'!U39</f>
        <v>0</v>
      </c>
      <c r="O38" s="619">
        <f t="shared" si="12"/>
        <v>0</v>
      </c>
      <c r="P38" s="346"/>
      <c r="Q38" s="93"/>
      <c r="R38" s="94"/>
      <c r="S38" s="94"/>
      <c r="T38" s="330"/>
      <c r="U38" s="347"/>
      <c r="V38" s="92"/>
      <c r="W38" s="94"/>
      <c r="X38" s="95"/>
      <c r="Y38" s="95"/>
      <c r="Z38" s="95"/>
      <c r="AA38" s="94"/>
      <c r="AB38" s="346"/>
      <c r="AC38" s="93"/>
      <c r="AD38" s="94"/>
      <c r="AE38" s="94"/>
      <c r="AF38" s="330"/>
      <c r="AG38" s="347"/>
      <c r="AH38" s="92"/>
      <c r="AI38" s="94"/>
      <c r="AJ38" s="95"/>
      <c r="AK38" s="95"/>
      <c r="AL38" s="95"/>
      <c r="AM38" s="94"/>
      <c r="AN38" s="346"/>
      <c r="AO38" s="93"/>
      <c r="AP38" s="94"/>
      <c r="AQ38" s="94"/>
      <c r="AR38" s="330"/>
      <c r="AS38" s="347"/>
      <c r="AT38" s="92"/>
      <c r="AU38" s="94"/>
      <c r="AV38" s="95"/>
      <c r="AW38" s="95"/>
      <c r="AX38" s="95"/>
      <c r="AY38" s="94"/>
      <c r="AZ38" s="346"/>
      <c r="BA38" s="93"/>
      <c r="BB38" s="94"/>
      <c r="BC38" s="94"/>
      <c r="BD38" s="330"/>
      <c r="BE38" s="347"/>
      <c r="BF38" s="92"/>
      <c r="BG38" s="94"/>
      <c r="BH38" s="95"/>
      <c r="BI38" s="95"/>
      <c r="BJ38" s="95"/>
      <c r="BK38" s="94"/>
      <c r="BL38" s="346"/>
      <c r="BM38" s="93"/>
      <c r="BN38" s="94"/>
      <c r="BO38" s="94"/>
      <c r="BP38" s="330"/>
      <c r="BQ38" s="347"/>
      <c r="BR38" s="92"/>
      <c r="BS38" s="94"/>
      <c r="BT38" s="95"/>
      <c r="BU38" s="95"/>
      <c r="BV38" s="95"/>
      <c r="BW38" s="94"/>
      <c r="BX38" s="346"/>
      <c r="BY38" s="93"/>
      <c r="BZ38" s="94"/>
      <c r="CA38" s="94"/>
      <c r="CB38" s="330"/>
      <c r="CC38" s="347"/>
      <c r="CD38" s="92"/>
      <c r="CE38" s="94"/>
      <c r="CF38" s="95"/>
      <c r="CG38" s="95"/>
      <c r="CH38" s="95"/>
      <c r="CI38" s="94"/>
    </row>
    <row r="39" spans="1:87" x14ac:dyDescent="0.2">
      <c r="A39" s="8">
        <v>30</v>
      </c>
      <c r="B39" s="1125">
        <f>'Membership Record'!B40</f>
        <v>0</v>
      </c>
      <c r="C39" s="1125"/>
      <c r="D39" s="87">
        <f>'Membership Record'!G40+'Membership Record'!P40</f>
        <v>0</v>
      </c>
      <c r="E39" s="350">
        <f t="shared" si="7"/>
        <v>0</v>
      </c>
      <c r="F39" s="614">
        <f>'Membership Record'!H40+'Membership Record'!Q40</f>
        <v>0</v>
      </c>
      <c r="G39" s="615">
        <f t="shared" si="8"/>
        <v>0</v>
      </c>
      <c r="H39" s="614">
        <f>'Membership Record'!I40+'Membership Record'!R40</f>
        <v>0</v>
      </c>
      <c r="I39" s="616">
        <f t="shared" si="9"/>
        <v>0</v>
      </c>
      <c r="J39" s="614">
        <f>'Membership Record'!J40+'Membership Record'!S40</f>
        <v>0</v>
      </c>
      <c r="K39" s="618">
        <f t="shared" si="10"/>
        <v>0</v>
      </c>
      <c r="L39" s="618">
        <f>'Membership Record'!K40+'Membership Record'!T40</f>
        <v>0</v>
      </c>
      <c r="M39" s="615">
        <f t="shared" si="11"/>
        <v>0</v>
      </c>
      <c r="N39" s="614">
        <f>'Membership Record'!L40+'Membership Record'!U40</f>
        <v>0</v>
      </c>
      <c r="O39" s="619">
        <f t="shared" si="12"/>
        <v>0</v>
      </c>
      <c r="P39" s="346"/>
      <c r="Q39" s="93"/>
      <c r="R39" s="94"/>
      <c r="S39" s="94"/>
      <c r="T39" s="330"/>
      <c r="U39" s="347"/>
      <c r="V39" s="92"/>
      <c r="W39" s="94"/>
      <c r="X39" s="95"/>
      <c r="Y39" s="95"/>
      <c r="Z39" s="95"/>
      <c r="AA39" s="94"/>
      <c r="AB39" s="346"/>
      <c r="AC39" s="93"/>
      <c r="AD39" s="94"/>
      <c r="AE39" s="94"/>
      <c r="AF39" s="330"/>
      <c r="AG39" s="347"/>
      <c r="AH39" s="92"/>
      <c r="AI39" s="94"/>
      <c r="AJ39" s="95"/>
      <c r="AK39" s="95"/>
      <c r="AL39" s="95"/>
      <c r="AM39" s="94"/>
      <c r="AN39" s="346"/>
      <c r="AO39" s="93"/>
      <c r="AP39" s="94"/>
      <c r="AQ39" s="94"/>
      <c r="AR39" s="330"/>
      <c r="AS39" s="347"/>
      <c r="AT39" s="92"/>
      <c r="AU39" s="94"/>
      <c r="AV39" s="95"/>
      <c r="AW39" s="95"/>
      <c r="AX39" s="95"/>
      <c r="AY39" s="94"/>
      <c r="AZ39" s="346"/>
      <c r="BA39" s="93"/>
      <c r="BB39" s="94"/>
      <c r="BC39" s="94"/>
      <c r="BD39" s="330"/>
      <c r="BE39" s="347"/>
      <c r="BF39" s="92"/>
      <c r="BG39" s="94"/>
      <c r="BH39" s="95"/>
      <c r="BI39" s="95"/>
      <c r="BJ39" s="95"/>
      <c r="BK39" s="94"/>
      <c r="BL39" s="346"/>
      <c r="BM39" s="93"/>
      <c r="BN39" s="94"/>
      <c r="BO39" s="94"/>
      <c r="BP39" s="330"/>
      <c r="BQ39" s="347"/>
      <c r="BR39" s="92"/>
      <c r="BS39" s="94"/>
      <c r="BT39" s="95"/>
      <c r="BU39" s="95"/>
      <c r="BV39" s="95"/>
      <c r="BW39" s="94"/>
      <c r="BX39" s="346"/>
      <c r="BY39" s="93"/>
      <c r="BZ39" s="94"/>
      <c r="CA39" s="94"/>
      <c r="CB39" s="330"/>
      <c r="CC39" s="347"/>
      <c r="CD39" s="92"/>
      <c r="CE39" s="94"/>
      <c r="CF39" s="95"/>
      <c r="CG39" s="95"/>
      <c r="CH39" s="95"/>
      <c r="CI39" s="94"/>
    </row>
    <row r="40" spans="1:87" x14ac:dyDescent="0.2">
      <c r="A40" s="8">
        <v>31</v>
      </c>
      <c r="B40" s="1125">
        <f>'Membership Record'!B41</f>
        <v>0</v>
      </c>
      <c r="C40" s="1125"/>
      <c r="D40" s="87">
        <f>'Membership Record'!G41+'Membership Record'!P41</f>
        <v>0</v>
      </c>
      <c r="E40" s="350">
        <f t="shared" si="7"/>
        <v>0</v>
      </c>
      <c r="F40" s="614">
        <f>'Membership Record'!H41+'Membership Record'!Q41</f>
        <v>0</v>
      </c>
      <c r="G40" s="615">
        <f t="shared" si="8"/>
        <v>0</v>
      </c>
      <c r="H40" s="614">
        <f>'Membership Record'!I41+'Membership Record'!R41</f>
        <v>0</v>
      </c>
      <c r="I40" s="616">
        <f t="shared" si="9"/>
        <v>0</v>
      </c>
      <c r="J40" s="614">
        <f>'Membership Record'!J41+'Membership Record'!S41</f>
        <v>0</v>
      </c>
      <c r="K40" s="618">
        <f t="shared" si="10"/>
        <v>0</v>
      </c>
      <c r="L40" s="618">
        <f>'Membership Record'!K41+'Membership Record'!T41</f>
        <v>0</v>
      </c>
      <c r="M40" s="615">
        <f t="shared" si="11"/>
        <v>0</v>
      </c>
      <c r="N40" s="614">
        <f>'Membership Record'!L41+'Membership Record'!U41</f>
        <v>0</v>
      </c>
      <c r="O40" s="619">
        <f t="shared" si="12"/>
        <v>0</v>
      </c>
      <c r="P40" s="346"/>
      <c r="Q40" s="93"/>
      <c r="R40" s="94"/>
      <c r="S40" s="94"/>
      <c r="T40" s="330"/>
      <c r="U40" s="347"/>
      <c r="V40" s="92"/>
      <c r="W40" s="94"/>
      <c r="X40" s="95"/>
      <c r="Y40" s="95"/>
      <c r="Z40" s="95"/>
      <c r="AA40" s="94"/>
      <c r="AB40" s="346"/>
      <c r="AC40" s="93"/>
      <c r="AD40" s="94"/>
      <c r="AE40" s="94"/>
      <c r="AF40" s="330"/>
      <c r="AG40" s="347"/>
      <c r="AH40" s="92"/>
      <c r="AI40" s="94"/>
      <c r="AJ40" s="95"/>
      <c r="AK40" s="95"/>
      <c r="AL40" s="95"/>
      <c r="AM40" s="94"/>
      <c r="AN40" s="346"/>
      <c r="AO40" s="93"/>
      <c r="AP40" s="94"/>
      <c r="AQ40" s="94"/>
      <c r="AR40" s="330"/>
      <c r="AS40" s="347"/>
      <c r="AT40" s="92"/>
      <c r="AU40" s="94"/>
      <c r="AV40" s="95"/>
      <c r="AW40" s="95"/>
      <c r="AX40" s="95"/>
      <c r="AY40" s="94"/>
      <c r="AZ40" s="346"/>
      <c r="BA40" s="93"/>
      <c r="BB40" s="94"/>
      <c r="BC40" s="94"/>
      <c r="BD40" s="330"/>
      <c r="BE40" s="347"/>
      <c r="BF40" s="92"/>
      <c r="BG40" s="94"/>
      <c r="BH40" s="95"/>
      <c r="BI40" s="95"/>
      <c r="BJ40" s="95"/>
      <c r="BK40" s="94"/>
      <c r="BL40" s="346"/>
      <c r="BM40" s="93"/>
      <c r="BN40" s="94"/>
      <c r="BO40" s="94"/>
      <c r="BP40" s="330"/>
      <c r="BQ40" s="347"/>
      <c r="BR40" s="92"/>
      <c r="BS40" s="94"/>
      <c r="BT40" s="95"/>
      <c r="BU40" s="95"/>
      <c r="BV40" s="95"/>
      <c r="BW40" s="94"/>
      <c r="BX40" s="346"/>
      <c r="BY40" s="93"/>
      <c r="BZ40" s="94"/>
      <c r="CA40" s="94"/>
      <c r="CB40" s="330"/>
      <c r="CC40" s="347"/>
      <c r="CD40" s="92"/>
      <c r="CE40" s="94"/>
      <c r="CF40" s="95"/>
      <c r="CG40" s="95"/>
      <c r="CH40" s="95"/>
      <c r="CI40" s="94"/>
    </row>
    <row r="41" spans="1:87" x14ac:dyDescent="0.2">
      <c r="A41" s="8">
        <v>32</v>
      </c>
      <c r="B41" s="1125">
        <f>'Membership Record'!B42</f>
        <v>0</v>
      </c>
      <c r="C41" s="1125"/>
      <c r="D41" s="87">
        <f>'Membership Record'!G42+'Membership Record'!P42</f>
        <v>0</v>
      </c>
      <c r="E41" s="350">
        <f t="shared" si="7"/>
        <v>0</v>
      </c>
      <c r="F41" s="614">
        <f>'Membership Record'!H42+'Membership Record'!Q42</f>
        <v>0</v>
      </c>
      <c r="G41" s="615">
        <f t="shared" si="8"/>
        <v>0</v>
      </c>
      <c r="H41" s="614">
        <f>'Membership Record'!I42+'Membership Record'!R42</f>
        <v>0</v>
      </c>
      <c r="I41" s="616">
        <f t="shared" si="9"/>
        <v>0</v>
      </c>
      <c r="J41" s="614">
        <f>'Membership Record'!J42+'Membership Record'!S42</f>
        <v>0</v>
      </c>
      <c r="K41" s="618">
        <f t="shared" si="10"/>
        <v>0</v>
      </c>
      <c r="L41" s="618">
        <f>'Membership Record'!K42+'Membership Record'!T42</f>
        <v>0</v>
      </c>
      <c r="M41" s="615">
        <f t="shared" si="11"/>
        <v>0</v>
      </c>
      <c r="N41" s="614">
        <f>'Membership Record'!L42+'Membership Record'!U42</f>
        <v>0</v>
      </c>
      <c r="O41" s="619">
        <f t="shared" si="12"/>
        <v>0</v>
      </c>
      <c r="P41" s="346"/>
      <c r="Q41" s="93"/>
      <c r="R41" s="94"/>
      <c r="S41" s="94"/>
      <c r="T41" s="330"/>
      <c r="U41" s="347"/>
      <c r="V41" s="92"/>
      <c r="W41" s="94"/>
      <c r="X41" s="95"/>
      <c r="Y41" s="95"/>
      <c r="Z41" s="95"/>
      <c r="AA41" s="94"/>
      <c r="AB41" s="346"/>
      <c r="AC41" s="93"/>
      <c r="AD41" s="94"/>
      <c r="AE41" s="94"/>
      <c r="AF41" s="330"/>
      <c r="AG41" s="347"/>
      <c r="AH41" s="92"/>
      <c r="AI41" s="94"/>
      <c r="AJ41" s="95"/>
      <c r="AK41" s="95"/>
      <c r="AL41" s="95"/>
      <c r="AM41" s="94"/>
      <c r="AN41" s="346"/>
      <c r="AO41" s="93"/>
      <c r="AP41" s="94"/>
      <c r="AQ41" s="94"/>
      <c r="AR41" s="330"/>
      <c r="AS41" s="347"/>
      <c r="AT41" s="92"/>
      <c r="AU41" s="94"/>
      <c r="AV41" s="95"/>
      <c r="AW41" s="95"/>
      <c r="AX41" s="95"/>
      <c r="AY41" s="94"/>
      <c r="AZ41" s="346"/>
      <c r="BA41" s="93"/>
      <c r="BB41" s="94"/>
      <c r="BC41" s="94"/>
      <c r="BD41" s="330"/>
      <c r="BE41" s="347"/>
      <c r="BF41" s="92"/>
      <c r="BG41" s="94"/>
      <c r="BH41" s="95"/>
      <c r="BI41" s="95"/>
      <c r="BJ41" s="95"/>
      <c r="BK41" s="94"/>
      <c r="BL41" s="346"/>
      <c r="BM41" s="93"/>
      <c r="BN41" s="94"/>
      <c r="BO41" s="94"/>
      <c r="BP41" s="330"/>
      <c r="BQ41" s="347"/>
      <c r="BR41" s="92"/>
      <c r="BS41" s="94"/>
      <c r="BT41" s="95"/>
      <c r="BU41" s="95"/>
      <c r="BV41" s="95"/>
      <c r="BW41" s="94"/>
      <c r="BX41" s="346"/>
      <c r="BY41" s="93"/>
      <c r="BZ41" s="94"/>
      <c r="CA41" s="94"/>
      <c r="CB41" s="330"/>
      <c r="CC41" s="347"/>
      <c r="CD41" s="92"/>
      <c r="CE41" s="94"/>
      <c r="CF41" s="95"/>
      <c r="CG41" s="95"/>
      <c r="CH41" s="95"/>
      <c r="CI41" s="94"/>
    </row>
    <row r="42" spans="1:87" x14ac:dyDescent="0.2">
      <c r="A42" s="8">
        <v>33</v>
      </c>
      <c r="B42" s="1125">
        <f>'Membership Record'!B43</f>
        <v>0</v>
      </c>
      <c r="C42" s="1125"/>
      <c r="D42" s="87">
        <f>'Membership Record'!G43+'Membership Record'!P43</f>
        <v>0</v>
      </c>
      <c r="E42" s="350">
        <f t="shared" si="7"/>
        <v>0</v>
      </c>
      <c r="F42" s="614">
        <f>'Membership Record'!H43+'Membership Record'!Q43</f>
        <v>0</v>
      </c>
      <c r="G42" s="615">
        <f t="shared" si="8"/>
        <v>0</v>
      </c>
      <c r="H42" s="614">
        <f>'Membership Record'!I43+'Membership Record'!R43</f>
        <v>0</v>
      </c>
      <c r="I42" s="616">
        <f t="shared" si="9"/>
        <v>0</v>
      </c>
      <c r="J42" s="614">
        <f>'Membership Record'!J43+'Membership Record'!S43</f>
        <v>0</v>
      </c>
      <c r="K42" s="618">
        <f t="shared" si="10"/>
        <v>0</v>
      </c>
      <c r="L42" s="618">
        <f>'Membership Record'!K43+'Membership Record'!T43</f>
        <v>0</v>
      </c>
      <c r="M42" s="615">
        <f t="shared" si="11"/>
        <v>0</v>
      </c>
      <c r="N42" s="614">
        <f>'Membership Record'!L43+'Membership Record'!U43</f>
        <v>0</v>
      </c>
      <c r="O42" s="619">
        <f t="shared" si="12"/>
        <v>0</v>
      </c>
      <c r="P42" s="346"/>
      <c r="Q42" s="93"/>
      <c r="R42" s="94"/>
      <c r="S42" s="94"/>
      <c r="T42" s="330"/>
      <c r="U42" s="347"/>
      <c r="V42" s="92"/>
      <c r="W42" s="94"/>
      <c r="X42" s="95"/>
      <c r="Y42" s="95"/>
      <c r="Z42" s="95"/>
      <c r="AA42" s="94"/>
      <c r="AB42" s="346"/>
      <c r="AC42" s="93"/>
      <c r="AD42" s="94"/>
      <c r="AE42" s="94"/>
      <c r="AF42" s="330"/>
      <c r="AG42" s="347"/>
      <c r="AH42" s="92"/>
      <c r="AI42" s="94"/>
      <c r="AJ42" s="95"/>
      <c r="AK42" s="95"/>
      <c r="AL42" s="95"/>
      <c r="AM42" s="94"/>
      <c r="AN42" s="346"/>
      <c r="AO42" s="93"/>
      <c r="AP42" s="94"/>
      <c r="AQ42" s="94"/>
      <c r="AR42" s="330"/>
      <c r="AS42" s="347"/>
      <c r="AT42" s="92"/>
      <c r="AU42" s="94"/>
      <c r="AV42" s="95"/>
      <c r="AW42" s="95"/>
      <c r="AX42" s="95"/>
      <c r="AY42" s="94"/>
      <c r="AZ42" s="346"/>
      <c r="BA42" s="93"/>
      <c r="BB42" s="94"/>
      <c r="BC42" s="94"/>
      <c r="BD42" s="330"/>
      <c r="BE42" s="347"/>
      <c r="BF42" s="92"/>
      <c r="BG42" s="94"/>
      <c r="BH42" s="95"/>
      <c r="BI42" s="95"/>
      <c r="BJ42" s="95"/>
      <c r="BK42" s="94"/>
      <c r="BL42" s="346"/>
      <c r="BM42" s="93"/>
      <c r="BN42" s="94"/>
      <c r="BO42" s="94"/>
      <c r="BP42" s="330"/>
      <c r="BQ42" s="347"/>
      <c r="BR42" s="92"/>
      <c r="BS42" s="94"/>
      <c r="BT42" s="95"/>
      <c r="BU42" s="95"/>
      <c r="BV42" s="95"/>
      <c r="BW42" s="94"/>
      <c r="BX42" s="346"/>
      <c r="BY42" s="93"/>
      <c r="BZ42" s="94"/>
      <c r="CA42" s="94"/>
      <c r="CB42" s="330"/>
      <c r="CC42" s="347"/>
      <c r="CD42" s="92"/>
      <c r="CE42" s="94"/>
      <c r="CF42" s="95"/>
      <c r="CG42" s="95"/>
      <c r="CH42" s="95"/>
      <c r="CI42" s="94"/>
    </row>
    <row r="43" spans="1:87" x14ac:dyDescent="0.2">
      <c r="A43" s="8">
        <v>34</v>
      </c>
      <c r="B43" s="1125">
        <f>'Membership Record'!B44</f>
        <v>0</v>
      </c>
      <c r="C43" s="1125"/>
      <c r="D43" s="87">
        <f>'Membership Record'!G44+'Membership Record'!P44</f>
        <v>0</v>
      </c>
      <c r="E43" s="350">
        <f t="shared" si="7"/>
        <v>0</v>
      </c>
      <c r="F43" s="614">
        <f>'Membership Record'!H44+'Membership Record'!Q44</f>
        <v>0</v>
      </c>
      <c r="G43" s="615">
        <f t="shared" si="8"/>
        <v>0</v>
      </c>
      <c r="H43" s="614">
        <f>'Membership Record'!I44+'Membership Record'!R44</f>
        <v>0</v>
      </c>
      <c r="I43" s="616">
        <f t="shared" si="9"/>
        <v>0</v>
      </c>
      <c r="J43" s="614">
        <f>'Membership Record'!J44+'Membership Record'!S44</f>
        <v>0</v>
      </c>
      <c r="K43" s="618">
        <f t="shared" si="10"/>
        <v>0</v>
      </c>
      <c r="L43" s="618">
        <f>'Membership Record'!K44+'Membership Record'!T44</f>
        <v>0</v>
      </c>
      <c r="M43" s="615">
        <f t="shared" si="11"/>
        <v>0</v>
      </c>
      <c r="N43" s="614">
        <f>'Membership Record'!L44+'Membership Record'!U44</f>
        <v>0</v>
      </c>
      <c r="O43" s="619">
        <f t="shared" si="12"/>
        <v>0</v>
      </c>
      <c r="P43" s="346"/>
      <c r="Q43" s="93"/>
      <c r="R43" s="94"/>
      <c r="S43" s="94"/>
      <c r="T43" s="330"/>
      <c r="U43" s="347"/>
      <c r="V43" s="92"/>
      <c r="W43" s="94"/>
      <c r="X43" s="95"/>
      <c r="Y43" s="95"/>
      <c r="Z43" s="95"/>
      <c r="AA43" s="94"/>
      <c r="AB43" s="346"/>
      <c r="AC43" s="93"/>
      <c r="AD43" s="94"/>
      <c r="AE43" s="94"/>
      <c r="AF43" s="330"/>
      <c r="AG43" s="347"/>
      <c r="AH43" s="92"/>
      <c r="AI43" s="94"/>
      <c r="AJ43" s="95"/>
      <c r="AK43" s="95"/>
      <c r="AL43" s="95"/>
      <c r="AM43" s="94"/>
      <c r="AN43" s="346"/>
      <c r="AO43" s="93"/>
      <c r="AP43" s="94"/>
      <c r="AQ43" s="94"/>
      <c r="AR43" s="330"/>
      <c r="AS43" s="347"/>
      <c r="AT43" s="92"/>
      <c r="AU43" s="94"/>
      <c r="AV43" s="95"/>
      <c r="AW43" s="95"/>
      <c r="AX43" s="95"/>
      <c r="AY43" s="94"/>
      <c r="AZ43" s="346"/>
      <c r="BA43" s="93"/>
      <c r="BB43" s="94"/>
      <c r="BC43" s="94"/>
      <c r="BD43" s="330"/>
      <c r="BE43" s="347"/>
      <c r="BF43" s="92"/>
      <c r="BG43" s="94"/>
      <c r="BH43" s="95"/>
      <c r="BI43" s="95"/>
      <c r="BJ43" s="95"/>
      <c r="BK43" s="94"/>
      <c r="BL43" s="346"/>
      <c r="BM43" s="93"/>
      <c r="BN43" s="94"/>
      <c r="BO43" s="94"/>
      <c r="BP43" s="330"/>
      <c r="BQ43" s="347"/>
      <c r="BR43" s="92"/>
      <c r="BS43" s="94"/>
      <c r="BT43" s="95"/>
      <c r="BU43" s="95"/>
      <c r="BV43" s="95"/>
      <c r="BW43" s="94"/>
      <c r="BX43" s="346"/>
      <c r="BY43" s="93"/>
      <c r="BZ43" s="94"/>
      <c r="CA43" s="94"/>
      <c r="CB43" s="330"/>
      <c r="CC43" s="347"/>
      <c r="CD43" s="92"/>
      <c r="CE43" s="94"/>
      <c r="CF43" s="95"/>
      <c r="CG43" s="95"/>
      <c r="CH43" s="95"/>
      <c r="CI43" s="94"/>
    </row>
    <row r="44" spans="1:87" x14ac:dyDescent="0.2">
      <c r="A44" s="8">
        <v>35</v>
      </c>
      <c r="B44" s="1125">
        <f>'Membership Record'!B45</f>
        <v>0</v>
      </c>
      <c r="C44" s="1125"/>
      <c r="D44" s="87">
        <f>'Membership Record'!G45+'Membership Record'!P45</f>
        <v>0</v>
      </c>
      <c r="E44" s="350">
        <f t="shared" si="7"/>
        <v>0</v>
      </c>
      <c r="F44" s="614">
        <f>'Membership Record'!H45+'Membership Record'!Q45</f>
        <v>0</v>
      </c>
      <c r="G44" s="615">
        <f t="shared" si="8"/>
        <v>0</v>
      </c>
      <c r="H44" s="614">
        <f>'Membership Record'!I45+'Membership Record'!R45</f>
        <v>0</v>
      </c>
      <c r="I44" s="616">
        <f t="shared" si="9"/>
        <v>0</v>
      </c>
      <c r="J44" s="614">
        <f>'Membership Record'!J45+'Membership Record'!S45</f>
        <v>0</v>
      </c>
      <c r="K44" s="618">
        <f t="shared" si="10"/>
        <v>0</v>
      </c>
      <c r="L44" s="618">
        <f>'Membership Record'!K45+'Membership Record'!T45</f>
        <v>0</v>
      </c>
      <c r="M44" s="615">
        <f t="shared" si="11"/>
        <v>0</v>
      </c>
      <c r="N44" s="614">
        <f>'Membership Record'!L45+'Membership Record'!U45</f>
        <v>0</v>
      </c>
      <c r="O44" s="619">
        <f t="shared" si="12"/>
        <v>0</v>
      </c>
      <c r="P44" s="346"/>
      <c r="Q44" s="93"/>
      <c r="R44" s="94"/>
      <c r="S44" s="94"/>
      <c r="T44" s="330"/>
      <c r="U44" s="347"/>
      <c r="V44" s="92"/>
      <c r="W44" s="94"/>
      <c r="X44" s="95"/>
      <c r="Y44" s="95"/>
      <c r="Z44" s="95"/>
      <c r="AA44" s="94"/>
      <c r="AB44" s="346"/>
      <c r="AC44" s="93"/>
      <c r="AD44" s="94"/>
      <c r="AE44" s="94"/>
      <c r="AF44" s="330"/>
      <c r="AG44" s="347"/>
      <c r="AH44" s="92"/>
      <c r="AI44" s="94"/>
      <c r="AJ44" s="95"/>
      <c r="AK44" s="95"/>
      <c r="AL44" s="95"/>
      <c r="AM44" s="94"/>
      <c r="AN44" s="346"/>
      <c r="AO44" s="93"/>
      <c r="AP44" s="94"/>
      <c r="AQ44" s="94"/>
      <c r="AR44" s="330"/>
      <c r="AS44" s="347"/>
      <c r="AT44" s="92"/>
      <c r="AU44" s="94"/>
      <c r="AV44" s="95"/>
      <c r="AW44" s="95"/>
      <c r="AX44" s="95"/>
      <c r="AY44" s="94"/>
      <c r="AZ44" s="346"/>
      <c r="BA44" s="93"/>
      <c r="BB44" s="94"/>
      <c r="BC44" s="94"/>
      <c r="BD44" s="330"/>
      <c r="BE44" s="347"/>
      <c r="BF44" s="92"/>
      <c r="BG44" s="94"/>
      <c r="BH44" s="95"/>
      <c r="BI44" s="95"/>
      <c r="BJ44" s="95"/>
      <c r="BK44" s="94"/>
      <c r="BL44" s="346"/>
      <c r="BM44" s="93"/>
      <c r="BN44" s="94"/>
      <c r="BO44" s="94"/>
      <c r="BP44" s="330"/>
      <c r="BQ44" s="347"/>
      <c r="BR44" s="92"/>
      <c r="BS44" s="94"/>
      <c r="BT44" s="95"/>
      <c r="BU44" s="95"/>
      <c r="BV44" s="95"/>
      <c r="BW44" s="94"/>
      <c r="BX44" s="346"/>
      <c r="BY44" s="93"/>
      <c r="BZ44" s="94"/>
      <c r="CA44" s="94"/>
      <c r="CB44" s="330"/>
      <c r="CC44" s="347"/>
      <c r="CD44" s="92"/>
      <c r="CE44" s="94"/>
      <c r="CF44" s="95"/>
      <c r="CG44" s="95"/>
      <c r="CH44" s="95"/>
      <c r="CI44" s="94"/>
    </row>
    <row r="45" spans="1:87" x14ac:dyDescent="0.2">
      <c r="A45" s="8">
        <v>36</v>
      </c>
      <c r="B45" s="1125">
        <f>'Membership Record'!B46</f>
        <v>0</v>
      </c>
      <c r="C45" s="1125"/>
      <c r="D45" s="87">
        <f>'Membership Record'!G46+'Membership Record'!P46</f>
        <v>0</v>
      </c>
      <c r="E45" s="350">
        <f t="shared" si="7"/>
        <v>0</v>
      </c>
      <c r="F45" s="614">
        <f>'Membership Record'!H46+'Membership Record'!Q46</f>
        <v>0</v>
      </c>
      <c r="G45" s="615">
        <f t="shared" si="8"/>
        <v>0</v>
      </c>
      <c r="H45" s="614">
        <f>'Membership Record'!I46+'Membership Record'!R46</f>
        <v>0</v>
      </c>
      <c r="I45" s="616">
        <f t="shared" si="9"/>
        <v>0</v>
      </c>
      <c r="J45" s="614">
        <f>'Membership Record'!J46+'Membership Record'!S46</f>
        <v>0</v>
      </c>
      <c r="K45" s="618">
        <f t="shared" si="10"/>
        <v>0</v>
      </c>
      <c r="L45" s="618">
        <f>'Membership Record'!K46+'Membership Record'!T46</f>
        <v>0</v>
      </c>
      <c r="M45" s="615">
        <f t="shared" si="11"/>
        <v>0</v>
      </c>
      <c r="N45" s="614">
        <f>'Membership Record'!L46+'Membership Record'!U46</f>
        <v>0</v>
      </c>
      <c r="O45" s="619">
        <f t="shared" si="12"/>
        <v>0</v>
      </c>
      <c r="P45" s="346"/>
      <c r="Q45" s="93"/>
      <c r="R45" s="94"/>
      <c r="S45" s="94"/>
      <c r="T45" s="330"/>
      <c r="U45" s="347"/>
      <c r="V45" s="92"/>
      <c r="W45" s="94"/>
      <c r="X45" s="95"/>
      <c r="Y45" s="95"/>
      <c r="Z45" s="95"/>
      <c r="AA45" s="94"/>
      <c r="AB45" s="346"/>
      <c r="AC45" s="93"/>
      <c r="AD45" s="94"/>
      <c r="AE45" s="94"/>
      <c r="AF45" s="330"/>
      <c r="AG45" s="347"/>
      <c r="AH45" s="92"/>
      <c r="AI45" s="94"/>
      <c r="AJ45" s="95"/>
      <c r="AK45" s="95"/>
      <c r="AL45" s="95"/>
      <c r="AM45" s="94"/>
      <c r="AN45" s="346"/>
      <c r="AO45" s="93"/>
      <c r="AP45" s="94"/>
      <c r="AQ45" s="94"/>
      <c r="AR45" s="330"/>
      <c r="AS45" s="347"/>
      <c r="AT45" s="92"/>
      <c r="AU45" s="94"/>
      <c r="AV45" s="95"/>
      <c r="AW45" s="95"/>
      <c r="AX45" s="95"/>
      <c r="AY45" s="94"/>
      <c r="AZ45" s="346"/>
      <c r="BA45" s="93"/>
      <c r="BB45" s="94"/>
      <c r="BC45" s="94"/>
      <c r="BD45" s="330"/>
      <c r="BE45" s="347"/>
      <c r="BF45" s="92"/>
      <c r="BG45" s="94"/>
      <c r="BH45" s="95"/>
      <c r="BI45" s="95"/>
      <c r="BJ45" s="95"/>
      <c r="BK45" s="94"/>
      <c r="BL45" s="346"/>
      <c r="BM45" s="93"/>
      <c r="BN45" s="94"/>
      <c r="BO45" s="94"/>
      <c r="BP45" s="330"/>
      <c r="BQ45" s="347"/>
      <c r="BR45" s="92"/>
      <c r="BS45" s="94"/>
      <c r="BT45" s="95"/>
      <c r="BU45" s="95"/>
      <c r="BV45" s="95"/>
      <c r="BW45" s="94"/>
      <c r="BX45" s="346"/>
      <c r="BY45" s="93"/>
      <c r="BZ45" s="94"/>
      <c r="CA45" s="94"/>
      <c r="CB45" s="330"/>
      <c r="CC45" s="347"/>
      <c r="CD45" s="92"/>
      <c r="CE45" s="94"/>
      <c r="CF45" s="95"/>
      <c r="CG45" s="95"/>
      <c r="CH45" s="95"/>
      <c r="CI45" s="94"/>
    </row>
    <row r="46" spans="1:87" x14ac:dyDescent="0.2">
      <c r="A46" s="8">
        <v>37</v>
      </c>
      <c r="B46" s="1125">
        <f>'Membership Record'!B47</f>
        <v>0</v>
      </c>
      <c r="C46" s="1125"/>
      <c r="D46" s="87">
        <f>'Membership Record'!G47+'Membership Record'!P47</f>
        <v>0</v>
      </c>
      <c r="E46" s="350">
        <f t="shared" si="7"/>
        <v>0</v>
      </c>
      <c r="F46" s="614">
        <f>'Membership Record'!H47+'Membership Record'!Q47</f>
        <v>0</v>
      </c>
      <c r="G46" s="615">
        <f t="shared" si="8"/>
        <v>0</v>
      </c>
      <c r="H46" s="614">
        <f>'Membership Record'!I47+'Membership Record'!R47</f>
        <v>0</v>
      </c>
      <c r="I46" s="616">
        <f t="shared" si="9"/>
        <v>0</v>
      </c>
      <c r="J46" s="614">
        <f>'Membership Record'!J47+'Membership Record'!S47</f>
        <v>0</v>
      </c>
      <c r="K46" s="618">
        <f t="shared" si="10"/>
        <v>0</v>
      </c>
      <c r="L46" s="618">
        <f>'Membership Record'!K47+'Membership Record'!T47</f>
        <v>0</v>
      </c>
      <c r="M46" s="615">
        <f t="shared" si="11"/>
        <v>0</v>
      </c>
      <c r="N46" s="614">
        <f>'Membership Record'!L47+'Membership Record'!U47</f>
        <v>0</v>
      </c>
      <c r="O46" s="619">
        <f t="shared" si="12"/>
        <v>0</v>
      </c>
      <c r="P46" s="346"/>
      <c r="Q46" s="93"/>
      <c r="R46" s="94"/>
      <c r="S46" s="94"/>
      <c r="T46" s="330"/>
      <c r="U46" s="347"/>
      <c r="V46" s="92"/>
      <c r="W46" s="94"/>
      <c r="X46" s="95"/>
      <c r="Y46" s="95"/>
      <c r="Z46" s="95"/>
      <c r="AA46" s="94"/>
      <c r="AB46" s="346"/>
      <c r="AC46" s="93"/>
      <c r="AD46" s="94"/>
      <c r="AE46" s="94"/>
      <c r="AF46" s="330"/>
      <c r="AG46" s="347"/>
      <c r="AH46" s="92"/>
      <c r="AI46" s="94"/>
      <c r="AJ46" s="95"/>
      <c r="AK46" s="95"/>
      <c r="AL46" s="95"/>
      <c r="AM46" s="94"/>
      <c r="AN46" s="346"/>
      <c r="AO46" s="93"/>
      <c r="AP46" s="94"/>
      <c r="AQ46" s="94"/>
      <c r="AR46" s="330"/>
      <c r="AS46" s="347"/>
      <c r="AT46" s="92"/>
      <c r="AU46" s="94"/>
      <c r="AV46" s="95"/>
      <c r="AW46" s="95"/>
      <c r="AX46" s="95"/>
      <c r="AY46" s="94"/>
      <c r="AZ46" s="346"/>
      <c r="BA46" s="93"/>
      <c r="BB46" s="94"/>
      <c r="BC46" s="94"/>
      <c r="BD46" s="330"/>
      <c r="BE46" s="347"/>
      <c r="BF46" s="92"/>
      <c r="BG46" s="94"/>
      <c r="BH46" s="95"/>
      <c r="BI46" s="95"/>
      <c r="BJ46" s="95"/>
      <c r="BK46" s="94"/>
      <c r="BL46" s="346"/>
      <c r="BM46" s="93"/>
      <c r="BN46" s="94"/>
      <c r="BO46" s="94"/>
      <c r="BP46" s="330"/>
      <c r="BQ46" s="347"/>
      <c r="BR46" s="92"/>
      <c r="BS46" s="94"/>
      <c r="BT46" s="95"/>
      <c r="BU46" s="95"/>
      <c r="BV46" s="95"/>
      <c r="BW46" s="94"/>
      <c r="BX46" s="346"/>
      <c r="BY46" s="93"/>
      <c r="BZ46" s="94"/>
      <c r="CA46" s="94"/>
      <c r="CB46" s="330"/>
      <c r="CC46" s="347"/>
      <c r="CD46" s="92"/>
      <c r="CE46" s="94"/>
      <c r="CF46" s="95"/>
      <c r="CG46" s="95"/>
      <c r="CH46" s="95"/>
      <c r="CI46" s="94"/>
    </row>
    <row r="47" spans="1:87" x14ac:dyDescent="0.2">
      <c r="A47" s="8">
        <v>38</v>
      </c>
      <c r="B47" s="1125">
        <f>'Membership Record'!B48</f>
        <v>0</v>
      </c>
      <c r="C47" s="1125"/>
      <c r="D47" s="87">
        <f>'Membership Record'!G48+'Membership Record'!P48</f>
        <v>0</v>
      </c>
      <c r="E47" s="350">
        <f t="shared" si="7"/>
        <v>0</v>
      </c>
      <c r="F47" s="614">
        <f>'Membership Record'!H48+'Membership Record'!Q48</f>
        <v>0</v>
      </c>
      <c r="G47" s="615">
        <f t="shared" si="8"/>
        <v>0</v>
      </c>
      <c r="H47" s="614">
        <f>'Membership Record'!I48+'Membership Record'!R48</f>
        <v>0</v>
      </c>
      <c r="I47" s="616">
        <f t="shared" si="9"/>
        <v>0</v>
      </c>
      <c r="J47" s="614">
        <f>'Membership Record'!J48+'Membership Record'!S48</f>
        <v>0</v>
      </c>
      <c r="K47" s="618">
        <f t="shared" si="10"/>
        <v>0</v>
      </c>
      <c r="L47" s="618">
        <f>'Membership Record'!K48+'Membership Record'!T48</f>
        <v>0</v>
      </c>
      <c r="M47" s="615">
        <f t="shared" si="11"/>
        <v>0</v>
      </c>
      <c r="N47" s="614">
        <f>'Membership Record'!L48+'Membership Record'!U48</f>
        <v>0</v>
      </c>
      <c r="O47" s="619">
        <f t="shared" si="12"/>
        <v>0</v>
      </c>
      <c r="P47" s="346"/>
      <c r="Q47" s="93"/>
      <c r="R47" s="94"/>
      <c r="S47" s="94"/>
      <c r="T47" s="330"/>
      <c r="U47" s="347"/>
      <c r="V47" s="92"/>
      <c r="W47" s="94"/>
      <c r="X47" s="95"/>
      <c r="Y47" s="95"/>
      <c r="Z47" s="95"/>
      <c r="AA47" s="94"/>
      <c r="AB47" s="346"/>
      <c r="AC47" s="93"/>
      <c r="AD47" s="94"/>
      <c r="AE47" s="94"/>
      <c r="AF47" s="330"/>
      <c r="AG47" s="347"/>
      <c r="AH47" s="92"/>
      <c r="AI47" s="94"/>
      <c r="AJ47" s="95"/>
      <c r="AK47" s="95"/>
      <c r="AL47" s="95"/>
      <c r="AM47" s="94"/>
      <c r="AN47" s="346"/>
      <c r="AO47" s="93"/>
      <c r="AP47" s="94"/>
      <c r="AQ47" s="94"/>
      <c r="AR47" s="330"/>
      <c r="AS47" s="347"/>
      <c r="AT47" s="92"/>
      <c r="AU47" s="94"/>
      <c r="AV47" s="95"/>
      <c r="AW47" s="95"/>
      <c r="AX47" s="95"/>
      <c r="AY47" s="94"/>
      <c r="AZ47" s="346"/>
      <c r="BA47" s="93"/>
      <c r="BB47" s="94"/>
      <c r="BC47" s="94"/>
      <c r="BD47" s="330"/>
      <c r="BE47" s="347"/>
      <c r="BF47" s="92"/>
      <c r="BG47" s="94"/>
      <c r="BH47" s="95"/>
      <c r="BI47" s="95"/>
      <c r="BJ47" s="95"/>
      <c r="BK47" s="94"/>
      <c r="BL47" s="346"/>
      <c r="BM47" s="93"/>
      <c r="BN47" s="94"/>
      <c r="BO47" s="94"/>
      <c r="BP47" s="330"/>
      <c r="BQ47" s="347"/>
      <c r="BR47" s="92"/>
      <c r="BS47" s="94"/>
      <c r="BT47" s="95"/>
      <c r="BU47" s="95"/>
      <c r="BV47" s="95"/>
      <c r="BW47" s="94"/>
      <c r="BX47" s="346"/>
      <c r="BY47" s="93"/>
      <c r="BZ47" s="94"/>
      <c r="CA47" s="94"/>
      <c r="CB47" s="330"/>
      <c r="CC47" s="347"/>
      <c r="CD47" s="92"/>
      <c r="CE47" s="94"/>
      <c r="CF47" s="95"/>
      <c r="CG47" s="95"/>
      <c r="CH47" s="95"/>
      <c r="CI47" s="94"/>
    </row>
    <row r="48" spans="1:87" x14ac:dyDescent="0.2">
      <c r="A48" s="8">
        <v>39</v>
      </c>
      <c r="B48" s="1125">
        <f>'Membership Record'!B49</f>
        <v>0</v>
      </c>
      <c r="C48" s="1125"/>
      <c r="D48" s="87">
        <f>'Membership Record'!G49+'Membership Record'!P49</f>
        <v>0</v>
      </c>
      <c r="E48" s="350">
        <f t="shared" si="7"/>
        <v>0</v>
      </c>
      <c r="F48" s="614">
        <f>'Membership Record'!H49+'Membership Record'!Q49</f>
        <v>0</v>
      </c>
      <c r="G48" s="615">
        <f t="shared" si="8"/>
        <v>0</v>
      </c>
      <c r="H48" s="614">
        <f>'Membership Record'!I49+'Membership Record'!R49</f>
        <v>0</v>
      </c>
      <c r="I48" s="616">
        <f t="shared" si="9"/>
        <v>0</v>
      </c>
      <c r="J48" s="614">
        <f>'Membership Record'!J49+'Membership Record'!S49</f>
        <v>0</v>
      </c>
      <c r="K48" s="618">
        <f t="shared" si="10"/>
        <v>0</v>
      </c>
      <c r="L48" s="618">
        <f>'Membership Record'!K49+'Membership Record'!T49</f>
        <v>0</v>
      </c>
      <c r="M48" s="615">
        <f t="shared" si="11"/>
        <v>0</v>
      </c>
      <c r="N48" s="614">
        <f>'Membership Record'!L49+'Membership Record'!U49</f>
        <v>0</v>
      </c>
      <c r="O48" s="619">
        <f t="shared" si="12"/>
        <v>0</v>
      </c>
      <c r="P48" s="346"/>
      <c r="Q48" s="93"/>
      <c r="R48" s="94"/>
      <c r="S48" s="94"/>
      <c r="T48" s="330"/>
      <c r="U48" s="347"/>
      <c r="V48" s="92"/>
      <c r="W48" s="94"/>
      <c r="X48" s="95"/>
      <c r="Y48" s="95"/>
      <c r="Z48" s="95"/>
      <c r="AA48" s="94"/>
      <c r="AB48" s="346"/>
      <c r="AC48" s="93"/>
      <c r="AD48" s="94"/>
      <c r="AE48" s="94"/>
      <c r="AF48" s="330"/>
      <c r="AG48" s="347"/>
      <c r="AH48" s="92"/>
      <c r="AI48" s="94"/>
      <c r="AJ48" s="95"/>
      <c r="AK48" s="95"/>
      <c r="AL48" s="95"/>
      <c r="AM48" s="94"/>
      <c r="AN48" s="346"/>
      <c r="AO48" s="93"/>
      <c r="AP48" s="94"/>
      <c r="AQ48" s="94"/>
      <c r="AR48" s="330"/>
      <c r="AS48" s="347"/>
      <c r="AT48" s="92"/>
      <c r="AU48" s="94"/>
      <c r="AV48" s="95"/>
      <c r="AW48" s="95"/>
      <c r="AX48" s="95"/>
      <c r="AY48" s="94"/>
      <c r="AZ48" s="346"/>
      <c r="BA48" s="93"/>
      <c r="BB48" s="94"/>
      <c r="BC48" s="94"/>
      <c r="BD48" s="330"/>
      <c r="BE48" s="347"/>
      <c r="BF48" s="92"/>
      <c r="BG48" s="94"/>
      <c r="BH48" s="95"/>
      <c r="BI48" s="95"/>
      <c r="BJ48" s="95"/>
      <c r="BK48" s="94"/>
      <c r="BL48" s="346"/>
      <c r="BM48" s="93"/>
      <c r="BN48" s="94"/>
      <c r="BO48" s="94"/>
      <c r="BP48" s="330"/>
      <c r="BQ48" s="347"/>
      <c r="BR48" s="92"/>
      <c r="BS48" s="94"/>
      <c r="BT48" s="95"/>
      <c r="BU48" s="95"/>
      <c r="BV48" s="95"/>
      <c r="BW48" s="94"/>
      <c r="BX48" s="346"/>
      <c r="BY48" s="93"/>
      <c r="BZ48" s="94"/>
      <c r="CA48" s="94"/>
      <c r="CB48" s="330"/>
      <c r="CC48" s="347"/>
      <c r="CD48" s="92"/>
      <c r="CE48" s="94"/>
      <c r="CF48" s="95"/>
      <c r="CG48" s="95"/>
      <c r="CH48" s="95"/>
      <c r="CI48" s="94"/>
    </row>
    <row r="49" spans="1:87" x14ac:dyDescent="0.2">
      <c r="A49" s="8">
        <v>40</v>
      </c>
      <c r="B49" s="1125">
        <f>'Membership Record'!B50</f>
        <v>0</v>
      </c>
      <c r="C49" s="1125"/>
      <c r="D49" s="87">
        <f>'Membership Record'!G50+'Membership Record'!P50</f>
        <v>0</v>
      </c>
      <c r="E49" s="350">
        <f t="shared" si="7"/>
        <v>0</v>
      </c>
      <c r="F49" s="614">
        <f>'Membership Record'!H50+'Membership Record'!Q50</f>
        <v>0</v>
      </c>
      <c r="G49" s="615">
        <f t="shared" si="8"/>
        <v>0</v>
      </c>
      <c r="H49" s="614">
        <f>'Membership Record'!I50+'Membership Record'!R50</f>
        <v>0</v>
      </c>
      <c r="I49" s="616">
        <f t="shared" si="9"/>
        <v>0</v>
      </c>
      <c r="J49" s="614">
        <f>'Membership Record'!J50+'Membership Record'!S50</f>
        <v>0</v>
      </c>
      <c r="K49" s="618">
        <f t="shared" si="10"/>
        <v>0</v>
      </c>
      <c r="L49" s="618">
        <f>'Membership Record'!K50+'Membership Record'!T50</f>
        <v>0</v>
      </c>
      <c r="M49" s="615">
        <f t="shared" si="11"/>
        <v>0</v>
      </c>
      <c r="N49" s="614">
        <f>'Membership Record'!L50+'Membership Record'!U50</f>
        <v>0</v>
      </c>
      <c r="O49" s="619">
        <f t="shared" si="12"/>
        <v>0</v>
      </c>
      <c r="P49" s="346"/>
      <c r="Q49" s="93"/>
      <c r="R49" s="94"/>
      <c r="S49" s="94"/>
      <c r="T49" s="330"/>
      <c r="U49" s="347"/>
      <c r="V49" s="92"/>
      <c r="W49" s="94"/>
      <c r="X49" s="95"/>
      <c r="Y49" s="95"/>
      <c r="Z49" s="95"/>
      <c r="AA49" s="94"/>
      <c r="AB49" s="346"/>
      <c r="AC49" s="93"/>
      <c r="AD49" s="94"/>
      <c r="AE49" s="94"/>
      <c r="AF49" s="330"/>
      <c r="AG49" s="347"/>
      <c r="AH49" s="92"/>
      <c r="AI49" s="94"/>
      <c r="AJ49" s="95"/>
      <c r="AK49" s="95"/>
      <c r="AL49" s="95"/>
      <c r="AM49" s="94"/>
      <c r="AN49" s="346"/>
      <c r="AO49" s="93"/>
      <c r="AP49" s="94"/>
      <c r="AQ49" s="94"/>
      <c r="AR49" s="330"/>
      <c r="AS49" s="347"/>
      <c r="AT49" s="92"/>
      <c r="AU49" s="94"/>
      <c r="AV49" s="95"/>
      <c r="AW49" s="95"/>
      <c r="AX49" s="95"/>
      <c r="AY49" s="94"/>
      <c r="AZ49" s="346"/>
      <c r="BA49" s="93"/>
      <c r="BB49" s="94"/>
      <c r="BC49" s="94"/>
      <c r="BD49" s="330"/>
      <c r="BE49" s="347"/>
      <c r="BF49" s="92"/>
      <c r="BG49" s="94"/>
      <c r="BH49" s="95"/>
      <c r="BI49" s="95"/>
      <c r="BJ49" s="95"/>
      <c r="BK49" s="94"/>
      <c r="BL49" s="346"/>
      <c r="BM49" s="93"/>
      <c r="BN49" s="94"/>
      <c r="BO49" s="94"/>
      <c r="BP49" s="330"/>
      <c r="BQ49" s="347"/>
      <c r="BR49" s="92"/>
      <c r="BS49" s="94"/>
      <c r="BT49" s="95"/>
      <c r="BU49" s="95"/>
      <c r="BV49" s="95"/>
      <c r="BW49" s="94"/>
      <c r="BX49" s="346"/>
      <c r="BY49" s="93"/>
      <c r="BZ49" s="94"/>
      <c r="CA49" s="94"/>
      <c r="CB49" s="330"/>
      <c r="CC49" s="347"/>
      <c r="CD49" s="92"/>
      <c r="CE49" s="94"/>
      <c r="CF49" s="95"/>
      <c r="CG49" s="95"/>
      <c r="CH49" s="95"/>
      <c r="CI49" s="94"/>
    </row>
    <row r="50" spans="1:87" x14ac:dyDescent="0.2">
      <c r="A50" s="8">
        <v>41</v>
      </c>
      <c r="B50" s="1125">
        <f>'Membership Record'!B51</f>
        <v>0</v>
      </c>
      <c r="C50" s="1125"/>
      <c r="D50" s="87">
        <f>'Membership Record'!G51+'Membership Record'!P51</f>
        <v>0</v>
      </c>
      <c r="E50" s="350">
        <f t="shared" si="7"/>
        <v>0</v>
      </c>
      <c r="F50" s="614">
        <f>'Membership Record'!H51+'Membership Record'!Q51</f>
        <v>0</v>
      </c>
      <c r="G50" s="615">
        <f t="shared" si="8"/>
        <v>0</v>
      </c>
      <c r="H50" s="614">
        <f>'Membership Record'!I51+'Membership Record'!R51</f>
        <v>0</v>
      </c>
      <c r="I50" s="616">
        <f t="shared" si="9"/>
        <v>0</v>
      </c>
      <c r="J50" s="614">
        <f>'Membership Record'!J51+'Membership Record'!S51</f>
        <v>0</v>
      </c>
      <c r="K50" s="618">
        <f t="shared" si="10"/>
        <v>0</v>
      </c>
      <c r="L50" s="618">
        <f>'Membership Record'!K51+'Membership Record'!T51</f>
        <v>0</v>
      </c>
      <c r="M50" s="615">
        <f t="shared" si="11"/>
        <v>0</v>
      </c>
      <c r="N50" s="614">
        <f>'Membership Record'!L51+'Membership Record'!U51</f>
        <v>0</v>
      </c>
      <c r="O50" s="619">
        <f t="shared" si="12"/>
        <v>0</v>
      </c>
      <c r="P50" s="346"/>
      <c r="Q50" s="93"/>
      <c r="R50" s="94"/>
      <c r="S50" s="94"/>
      <c r="T50" s="330"/>
      <c r="U50" s="347"/>
      <c r="V50" s="92"/>
      <c r="W50" s="94"/>
      <c r="X50" s="95"/>
      <c r="Y50" s="95"/>
      <c r="Z50" s="95"/>
      <c r="AA50" s="94"/>
      <c r="AB50" s="346"/>
      <c r="AC50" s="93"/>
      <c r="AD50" s="94"/>
      <c r="AE50" s="94"/>
      <c r="AF50" s="330"/>
      <c r="AG50" s="347"/>
      <c r="AH50" s="92"/>
      <c r="AI50" s="94"/>
      <c r="AJ50" s="95"/>
      <c r="AK50" s="95"/>
      <c r="AL50" s="95"/>
      <c r="AM50" s="94"/>
      <c r="AN50" s="346"/>
      <c r="AO50" s="93"/>
      <c r="AP50" s="94"/>
      <c r="AQ50" s="94"/>
      <c r="AR50" s="330"/>
      <c r="AS50" s="347"/>
      <c r="AT50" s="92"/>
      <c r="AU50" s="94"/>
      <c r="AV50" s="95"/>
      <c r="AW50" s="95"/>
      <c r="AX50" s="95"/>
      <c r="AY50" s="94"/>
      <c r="AZ50" s="346"/>
      <c r="BA50" s="93"/>
      <c r="BB50" s="94"/>
      <c r="BC50" s="94"/>
      <c r="BD50" s="330"/>
      <c r="BE50" s="347"/>
      <c r="BF50" s="92"/>
      <c r="BG50" s="94"/>
      <c r="BH50" s="95"/>
      <c r="BI50" s="95"/>
      <c r="BJ50" s="95"/>
      <c r="BK50" s="94"/>
      <c r="BL50" s="346"/>
      <c r="BM50" s="93"/>
      <c r="BN50" s="94"/>
      <c r="BO50" s="94"/>
      <c r="BP50" s="330"/>
      <c r="BQ50" s="347"/>
      <c r="BR50" s="92"/>
      <c r="BS50" s="94"/>
      <c r="BT50" s="95"/>
      <c r="BU50" s="95"/>
      <c r="BV50" s="95"/>
      <c r="BW50" s="94"/>
      <c r="BX50" s="346"/>
      <c r="BY50" s="93"/>
      <c r="BZ50" s="94"/>
      <c r="CA50" s="94"/>
      <c r="CB50" s="330"/>
      <c r="CC50" s="347"/>
      <c r="CD50" s="92"/>
      <c r="CE50" s="94"/>
      <c r="CF50" s="95"/>
      <c r="CG50" s="95"/>
      <c r="CH50" s="95"/>
      <c r="CI50" s="94"/>
    </row>
    <row r="51" spans="1:87" x14ac:dyDescent="0.2">
      <c r="A51" s="8">
        <v>42</v>
      </c>
      <c r="B51" s="1125">
        <f>'Membership Record'!B52</f>
        <v>0</v>
      </c>
      <c r="C51" s="1125"/>
      <c r="D51" s="87">
        <f>'Membership Record'!G52+'Membership Record'!P52</f>
        <v>0</v>
      </c>
      <c r="E51" s="350">
        <f t="shared" si="7"/>
        <v>0</v>
      </c>
      <c r="F51" s="614">
        <f>'Membership Record'!H52+'Membership Record'!Q52</f>
        <v>0</v>
      </c>
      <c r="G51" s="615">
        <f t="shared" si="8"/>
        <v>0</v>
      </c>
      <c r="H51" s="614">
        <f>'Membership Record'!I52+'Membership Record'!R52</f>
        <v>0</v>
      </c>
      <c r="I51" s="616">
        <f t="shared" si="9"/>
        <v>0</v>
      </c>
      <c r="J51" s="614">
        <f>'Membership Record'!J52+'Membership Record'!S52</f>
        <v>0</v>
      </c>
      <c r="K51" s="618">
        <f t="shared" si="10"/>
        <v>0</v>
      </c>
      <c r="L51" s="618">
        <f>'Membership Record'!K52+'Membership Record'!T52</f>
        <v>0</v>
      </c>
      <c r="M51" s="615">
        <f t="shared" si="11"/>
        <v>0</v>
      </c>
      <c r="N51" s="614">
        <f>'Membership Record'!L52+'Membership Record'!U52</f>
        <v>0</v>
      </c>
      <c r="O51" s="619">
        <f t="shared" si="12"/>
        <v>0</v>
      </c>
      <c r="P51" s="346"/>
      <c r="Q51" s="93"/>
      <c r="R51" s="94"/>
      <c r="S51" s="94"/>
      <c r="T51" s="330"/>
      <c r="U51" s="347"/>
      <c r="V51" s="92"/>
      <c r="W51" s="94"/>
      <c r="X51" s="95"/>
      <c r="Y51" s="95"/>
      <c r="Z51" s="95"/>
      <c r="AA51" s="94"/>
      <c r="AB51" s="346"/>
      <c r="AC51" s="93"/>
      <c r="AD51" s="94"/>
      <c r="AE51" s="94"/>
      <c r="AF51" s="330"/>
      <c r="AG51" s="347"/>
      <c r="AH51" s="92"/>
      <c r="AI51" s="94"/>
      <c r="AJ51" s="95"/>
      <c r="AK51" s="95"/>
      <c r="AL51" s="95"/>
      <c r="AM51" s="94"/>
      <c r="AN51" s="346"/>
      <c r="AO51" s="93"/>
      <c r="AP51" s="94"/>
      <c r="AQ51" s="94"/>
      <c r="AR51" s="330"/>
      <c r="AS51" s="347"/>
      <c r="AT51" s="92"/>
      <c r="AU51" s="94"/>
      <c r="AV51" s="95"/>
      <c r="AW51" s="95"/>
      <c r="AX51" s="95"/>
      <c r="AY51" s="94"/>
      <c r="AZ51" s="346"/>
      <c r="BA51" s="93"/>
      <c r="BB51" s="94"/>
      <c r="BC51" s="94"/>
      <c r="BD51" s="330"/>
      <c r="BE51" s="347"/>
      <c r="BF51" s="92"/>
      <c r="BG51" s="94"/>
      <c r="BH51" s="95"/>
      <c r="BI51" s="95"/>
      <c r="BJ51" s="95"/>
      <c r="BK51" s="94"/>
      <c r="BL51" s="346"/>
      <c r="BM51" s="93"/>
      <c r="BN51" s="94"/>
      <c r="BO51" s="94"/>
      <c r="BP51" s="330"/>
      <c r="BQ51" s="347"/>
      <c r="BR51" s="92"/>
      <c r="BS51" s="94"/>
      <c r="BT51" s="95"/>
      <c r="BU51" s="95"/>
      <c r="BV51" s="95"/>
      <c r="BW51" s="94"/>
      <c r="BX51" s="346"/>
      <c r="BY51" s="93"/>
      <c r="BZ51" s="94"/>
      <c r="CA51" s="94"/>
      <c r="CB51" s="330"/>
      <c r="CC51" s="347"/>
      <c r="CD51" s="92"/>
      <c r="CE51" s="94"/>
      <c r="CF51" s="95"/>
      <c r="CG51" s="95"/>
      <c r="CH51" s="95"/>
      <c r="CI51" s="94"/>
    </row>
    <row r="52" spans="1:87" x14ac:dyDescent="0.2">
      <c r="A52" s="8">
        <v>43</v>
      </c>
      <c r="B52" s="1125">
        <f>'Membership Record'!B53</f>
        <v>0</v>
      </c>
      <c r="C52" s="1125"/>
      <c r="D52" s="87">
        <f>'Membership Record'!G53+'Membership Record'!P53</f>
        <v>0</v>
      </c>
      <c r="E52" s="350">
        <f t="shared" si="7"/>
        <v>0</v>
      </c>
      <c r="F52" s="614">
        <f>'Membership Record'!H53+'Membership Record'!Q53</f>
        <v>0</v>
      </c>
      <c r="G52" s="615">
        <f t="shared" si="8"/>
        <v>0</v>
      </c>
      <c r="H52" s="614">
        <f>'Membership Record'!I53+'Membership Record'!R53</f>
        <v>0</v>
      </c>
      <c r="I52" s="616">
        <f t="shared" si="9"/>
        <v>0</v>
      </c>
      <c r="J52" s="614">
        <f>'Membership Record'!J53+'Membership Record'!S53</f>
        <v>0</v>
      </c>
      <c r="K52" s="618">
        <f t="shared" si="10"/>
        <v>0</v>
      </c>
      <c r="L52" s="618">
        <f>'Membership Record'!K53+'Membership Record'!T53</f>
        <v>0</v>
      </c>
      <c r="M52" s="615">
        <f t="shared" si="11"/>
        <v>0</v>
      </c>
      <c r="N52" s="614">
        <f>'Membership Record'!L53+'Membership Record'!U53</f>
        <v>0</v>
      </c>
      <c r="O52" s="619">
        <f t="shared" si="12"/>
        <v>0</v>
      </c>
      <c r="P52" s="346"/>
      <c r="Q52" s="93"/>
      <c r="R52" s="94"/>
      <c r="S52" s="94"/>
      <c r="T52" s="330"/>
      <c r="U52" s="347"/>
      <c r="V52" s="92"/>
      <c r="W52" s="94"/>
      <c r="X52" s="95"/>
      <c r="Y52" s="95"/>
      <c r="Z52" s="95"/>
      <c r="AA52" s="94"/>
      <c r="AB52" s="346"/>
      <c r="AC52" s="93"/>
      <c r="AD52" s="94"/>
      <c r="AE52" s="94"/>
      <c r="AF52" s="330"/>
      <c r="AG52" s="347"/>
      <c r="AH52" s="92"/>
      <c r="AI52" s="94"/>
      <c r="AJ52" s="95"/>
      <c r="AK52" s="95"/>
      <c r="AL52" s="95"/>
      <c r="AM52" s="94"/>
      <c r="AN52" s="346"/>
      <c r="AO52" s="93"/>
      <c r="AP52" s="94"/>
      <c r="AQ52" s="94"/>
      <c r="AR52" s="330"/>
      <c r="AS52" s="347"/>
      <c r="AT52" s="92"/>
      <c r="AU52" s="94"/>
      <c r="AV52" s="95"/>
      <c r="AW52" s="95"/>
      <c r="AX52" s="95"/>
      <c r="AY52" s="94"/>
      <c r="AZ52" s="346"/>
      <c r="BA52" s="93"/>
      <c r="BB52" s="94"/>
      <c r="BC52" s="94"/>
      <c r="BD52" s="330"/>
      <c r="BE52" s="347"/>
      <c r="BF52" s="92"/>
      <c r="BG52" s="94"/>
      <c r="BH52" s="95"/>
      <c r="BI52" s="95"/>
      <c r="BJ52" s="95"/>
      <c r="BK52" s="94"/>
      <c r="BL52" s="346"/>
      <c r="BM52" s="93"/>
      <c r="BN52" s="94"/>
      <c r="BO52" s="94"/>
      <c r="BP52" s="330"/>
      <c r="BQ52" s="347"/>
      <c r="BR52" s="92"/>
      <c r="BS52" s="94"/>
      <c r="BT52" s="95"/>
      <c r="BU52" s="95"/>
      <c r="BV52" s="95"/>
      <c r="BW52" s="94"/>
      <c r="BX52" s="346"/>
      <c r="BY52" s="93"/>
      <c r="BZ52" s="94"/>
      <c r="CA52" s="94"/>
      <c r="CB52" s="330"/>
      <c r="CC52" s="347"/>
      <c r="CD52" s="92"/>
      <c r="CE52" s="94"/>
      <c r="CF52" s="95"/>
      <c r="CG52" s="95"/>
      <c r="CH52" s="95"/>
      <c r="CI52" s="94"/>
    </row>
    <row r="53" spans="1:87" x14ac:dyDescent="0.2">
      <c r="A53" s="8">
        <v>44</v>
      </c>
      <c r="B53" s="1125">
        <f>'Membership Record'!B54</f>
        <v>0</v>
      </c>
      <c r="C53" s="1125"/>
      <c r="D53" s="87">
        <f>'Membership Record'!G54+'Membership Record'!P54</f>
        <v>0</v>
      </c>
      <c r="E53" s="350">
        <f t="shared" si="7"/>
        <v>0</v>
      </c>
      <c r="F53" s="614">
        <f>'Membership Record'!H54+'Membership Record'!Q54</f>
        <v>0</v>
      </c>
      <c r="G53" s="615">
        <f t="shared" si="8"/>
        <v>0</v>
      </c>
      <c r="H53" s="614">
        <f>'Membership Record'!I54+'Membership Record'!R54</f>
        <v>0</v>
      </c>
      <c r="I53" s="616">
        <f t="shared" si="9"/>
        <v>0</v>
      </c>
      <c r="J53" s="614">
        <f>'Membership Record'!J54+'Membership Record'!S54</f>
        <v>0</v>
      </c>
      <c r="K53" s="618">
        <f t="shared" si="10"/>
        <v>0</v>
      </c>
      <c r="L53" s="618">
        <f>'Membership Record'!K54+'Membership Record'!T54</f>
        <v>0</v>
      </c>
      <c r="M53" s="615">
        <f t="shared" si="11"/>
        <v>0</v>
      </c>
      <c r="N53" s="614">
        <f>'Membership Record'!L54+'Membership Record'!U54</f>
        <v>0</v>
      </c>
      <c r="O53" s="619">
        <f t="shared" si="12"/>
        <v>0</v>
      </c>
      <c r="P53" s="346"/>
      <c r="Q53" s="93"/>
      <c r="R53" s="94"/>
      <c r="S53" s="94"/>
      <c r="T53" s="330"/>
      <c r="U53" s="347"/>
      <c r="V53" s="92"/>
      <c r="W53" s="94"/>
      <c r="X53" s="95"/>
      <c r="Y53" s="95"/>
      <c r="Z53" s="95"/>
      <c r="AA53" s="94"/>
      <c r="AB53" s="346"/>
      <c r="AC53" s="93"/>
      <c r="AD53" s="94"/>
      <c r="AE53" s="94"/>
      <c r="AF53" s="330"/>
      <c r="AG53" s="347"/>
      <c r="AH53" s="92"/>
      <c r="AI53" s="94"/>
      <c r="AJ53" s="95"/>
      <c r="AK53" s="95"/>
      <c r="AL53" s="95"/>
      <c r="AM53" s="94"/>
      <c r="AN53" s="346"/>
      <c r="AO53" s="93"/>
      <c r="AP53" s="94"/>
      <c r="AQ53" s="94"/>
      <c r="AR53" s="330"/>
      <c r="AS53" s="347"/>
      <c r="AT53" s="92"/>
      <c r="AU53" s="94"/>
      <c r="AV53" s="95"/>
      <c r="AW53" s="95"/>
      <c r="AX53" s="95"/>
      <c r="AY53" s="94"/>
      <c r="AZ53" s="346"/>
      <c r="BA53" s="93"/>
      <c r="BB53" s="94"/>
      <c r="BC53" s="94"/>
      <c r="BD53" s="330"/>
      <c r="BE53" s="347"/>
      <c r="BF53" s="92"/>
      <c r="BG53" s="94"/>
      <c r="BH53" s="95"/>
      <c r="BI53" s="95"/>
      <c r="BJ53" s="95"/>
      <c r="BK53" s="94"/>
      <c r="BL53" s="346"/>
      <c r="BM53" s="93"/>
      <c r="BN53" s="94"/>
      <c r="BO53" s="94"/>
      <c r="BP53" s="330"/>
      <c r="BQ53" s="347"/>
      <c r="BR53" s="92"/>
      <c r="BS53" s="94"/>
      <c r="BT53" s="95"/>
      <c r="BU53" s="95"/>
      <c r="BV53" s="95"/>
      <c r="BW53" s="94"/>
      <c r="BX53" s="346"/>
      <c r="BY53" s="93"/>
      <c r="BZ53" s="94"/>
      <c r="CA53" s="94"/>
      <c r="CB53" s="330"/>
      <c r="CC53" s="347"/>
      <c r="CD53" s="92"/>
      <c r="CE53" s="94"/>
      <c r="CF53" s="95"/>
      <c r="CG53" s="95"/>
      <c r="CH53" s="95"/>
      <c r="CI53" s="94"/>
    </row>
    <row r="54" spans="1:87" x14ac:dyDescent="0.2">
      <c r="A54" s="8">
        <v>45</v>
      </c>
      <c r="B54" s="1125">
        <f>'Membership Record'!B55</f>
        <v>0</v>
      </c>
      <c r="C54" s="1125"/>
      <c r="D54" s="87">
        <f>'Membership Record'!G55+'Membership Record'!P55</f>
        <v>0</v>
      </c>
      <c r="E54" s="350">
        <f t="shared" si="7"/>
        <v>0</v>
      </c>
      <c r="F54" s="614">
        <f>'Membership Record'!H55+'Membership Record'!Q55</f>
        <v>0</v>
      </c>
      <c r="G54" s="615">
        <f t="shared" si="8"/>
        <v>0</v>
      </c>
      <c r="H54" s="614">
        <f>'Membership Record'!I55+'Membership Record'!R55</f>
        <v>0</v>
      </c>
      <c r="I54" s="616">
        <f t="shared" si="9"/>
        <v>0</v>
      </c>
      <c r="J54" s="614">
        <f>'Membership Record'!J55+'Membership Record'!S55</f>
        <v>0</v>
      </c>
      <c r="K54" s="618">
        <f t="shared" si="10"/>
        <v>0</v>
      </c>
      <c r="L54" s="618">
        <f>'Membership Record'!K55+'Membership Record'!T55</f>
        <v>0</v>
      </c>
      <c r="M54" s="615">
        <f t="shared" si="11"/>
        <v>0</v>
      </c>
      <c r="N54" s="614">
        <f>'Membership Record'!L55+'Membership Record'!U55</f>
        <v>0</v>
      </c>
      <c r="O54" s="619">
        <f t="shared" si="12"/>
        <v>0</v>
      </c>
      <c r="P54" s="346"/>
      <c r="Q54" s="93"/>
      <c r="R54" s="94"/>
      <c r="S54" s="94"/>
      <c r="T54" s="330"/>
      <c r="U54" s="347"/>
      <c r="V54" s="92"/>
      <c r="W54" s="94"/>
      <c r="X54" s="95"/>
      <c r="Y54" s="95"/>
      <c r="Z54" s="95"/>
      <c r="AA54" s="94"/>
      <c r="AB54" s="346"/>
      <c r="AC54" s="93"/>
      <c r="AD54" s="94"/>
      <c r="AE54" s="94"/>
      <c r="AF54" s="330"/>
      <c r="AG54" s="347"/>
      <c r="AH54" s="92"/>
      <c r="AI54" s="94"/>
      <c r="AJ54" s="95"/>
      <c r="AK54" s="95"/>
      <c r="AL54" s="95"/>
      <c r="AM54" s="94"/>
      <c r="AN54" s="346"/>
      <c r="AO54" s="93"/>
      <c r="AP54" s="94"/>
      <c r="AQ54" s="94"/>
      <c r="AR54" s="330"/>
      <c r="AS54" s="347"/>
      <c r="AT54" s="92"/>
      <c r="AU54" s="94"/>
      <c r="AV54" s="95"/>
      <c r="AW54" s="95"/>
      <c r="AX54" s="95"/>
      <c r="AY54" s="94"/>
      <c r="AZ54" s="346"/>
      <c r="BA54" s="93"/>
      <c r="BB54" s="94"/>
      <c r="BC54" s="94"/>
      <c r="BD54" s="330"/>
      <c r="BE54" s="347"/>
      <c r="BF54" s="92"/>
      <c r="BG54" s="94"/>
      <c r="BH54" s="95"/>
      <c r="BI54" s="95"/>
      <c r="BJ54" s="95"/>
      <c r="BK54" s="94"/>
      <c r="BL54" s="346"/>
      <c r="BM54" s="93"/>
      <c r="BN54" s="94"/>
      <c r="BO54" s="94"/>
      <c r="BP54" s="330"/>
      <c r="BQ54" s="347"/>
      <c r="BR54" s="92"/>
      <c r="BS54" s="94"/>
      <c r="BT54" s="95"/>
      <c r="BU54" s="95"/>
      <c r="BV54" s="95"/>
      <c r="BW54" s="94"/>
      <c r="BX54" s="346"/>
      <c r="BY54" s="93"/>
      <c r="BZ54" s="94"/>
      <c r="CA54" s="94"/>
      <c r="CB54" s="330"/>
      <c r="CC54" s="347"/>
      <c r="CD54" s="92"/>
      <c r="CE54" s="94"/>
      <c r="CF54" s="95"/>
      <c r="CG54" s="95"/>
      <c r="CH54" s="95"/>
      <c r="CI54" s="94"/>
    </row>
    <row r="55" spans="1:87" x14ac:dyDescent="0.2">
      <c r="A55" s="8">
        <v>46</v>
      </c>
      <c r="B55" s="1125">
        <f>'Membership Record'!B56</f>
        <v>0</v>
      </c>
      <c r="C55" s="1125"/>
      <c r="D55" s="87">
        <f>'Membership Record'!G56+'Membership Record'!P56</f>
        <v>0</v>
      </c>
      <c r="E55" s="350">
        <f t="shared" si="7"/>
        <v>0</v>
      </c>
      <c r="F55" s="614">
        <f>'Membership Record'!H56+'Membership Record'!Q56</f>
        <v>0</v>
      </c>
      <c r="G55" s="615">
        <f t="shared" si="8"/>
        <v>0</v>
      </c>
      <c r="H55" s="614">
        <f>'Membership Record'!I56+'Membership Record'!R56</f>
        <v>0</v>
      </c>
      <c r="I55" s="616">
        <f t="shared" si="9"/>
        <v>0</v>
      </c>
      <c r="J55" s="614">
        <f>'Membership Record'!J56+'Membership Record'!S56</f>
        <v>0</v>
      </c>
      <c r="K55" s="618">
        <f t="shared" si="10"/>
        <v>0</v>
      </c>
      <c r="L55" s="618">
        <f>'Membership Record'!K56+'Membership Record'!T56</f>
        <v>0</v>
      </c>
      <c r="M55" s="615">
        <f t="shared" si="11"/>
        <v>0</v>
      </c>
      <c r="N55" s="614">
        <f>'Membership Record'!L56+'Membership Record'!U56</f>
        <v>0</v>
      </c>
      <c r="O55" s="619">
        <f t="shared" si="12"/>
        <v>0</v>
      </c>
      <c r="P55" s="346"/>
      <c r="Q55" s="93"/>
      <c r="R55" s="94"/>
      <c r="S55" s="94"/>
      <c r="T55" s="330"/>
      <c r="U55" s="347"/>
      <c r="V55" s="92"/>
      <c r="W55" s="94"/>
      <c r="X55" s="95"/>
      <c r="Y55" s="95"/>
      <c r="Z55" s="95"/>
      <c r="AA55" s="94"/>
      <c r="AB55" s="346"/>
      <c r="AC55" s="93"/>
      <c r="AD55" s="94"/>
      <c r="AE55" s="94"/>
      <c r="AF55" s="330"/>
      <c r="AG55" s="347"/>
      <c r="AH55" s="92"/>
      <c r="AI55" s="94"/>
      <c r="AJ55" s="95"/>
      <c r="AK55" s="95"/>
      <c r="AL55" s="95"/>
      <c r="AM55" s="94"/>
      <c r="AN55" s="346"/>
      <c r="AO55" s="93"/>
      <c r="AP55" s="94"/>
      <c r="AQ55" s="94"/>
      <c r="AR55" s="330"/>
      <c r="AS55" s="347"/>
      <c r="AT55" s="92"/>
      <c r="AU55" s="94"/>
      <c r="AV55" s="95"/>
      <c r="AW55" s="95"/>
      <c r="AX55" s="95"/>
      <c r="AY55" s="94"/>
      <c r="AZ55" s="346"/>
      <c r="BA55" s="93"/>
      <c r="BB55" s="94"/>
      <c r="BC55" s="94"/>
      <c r="BD55" s="330"/>
      <c r="BE55" s="347"/>
      <c r="BF55" s="92"/>
      <c r="BG55" s="94"/>
      <c r="BH55" s="95"/>
      <c r="BI55" s="95"/>
      <c r="BJ55" s="95"/>
      <c r="BK55" s="94"/>
      <c r="BL55" s="346"/>
      <c r="BM55" s="93"/>
      <c r="BN55" s="94"/>
      <c r="BO55" s="94"/>
      <c r="BP55" s="330"/>
      <c r="BQ55" s="347"/>
      <c r="BR55" s="92"/>
      <c r="BS55" s="94"/>
      <c r="BT55" s="95"/>
      <c r="BU55" s="95"/>
      <c r="BV55" s="95"/>
      <c r="BW55" s="94"/>
      <c r="BX55" s="346"/>
      <c r="BY55" s="93"/>
      <c r="BZ55" s="94"/>
      <c r="CA55" s="94"/>
      <c r="CB55" s="330"/>
      <c r="CC55" s="347"/>
      <c r="CD55" s="92"/>
      <c r="CE55" s="94"/>
      <c r="CF55" s="95"/>
      <c r="CG55" s="95"/>
      <c r="CH55" s="95"/>
      <c r="CI55" s="94"/>
    </row>
    <row r="56" spans="1:87" x14ac:dyDescent="0.2">
      <c r="A56" s="8">
        <v>47</v>
      </c>
      <c r="B56" s="1125">
        <f>'Membership Record'!B57</f>
        <v>0</v>
      </c>
      <c r="C56" s="1125"/>
      <c r="D56" s="87">
        <f>'Membership Record'!G57+'Membership Record'!P57</f>
        <v>0</v>
      </c>
      <c r="E56" s="350">
        <f t="shared" si="7"/>
        <v>0</v>
      </c>
      <c r="F56" s="614">
        <f>'Membership Record'!H57+'Membership Record'!Q57</f>
        <v>0</v>
      </c>
      <c r="G56" s="615">
        <f t="shared" si="8"/>
        <v>0</v>
      </c>
      <c r="H56" s="614">
        <f>'Membership Record'!I57+'Membership Record'!R57</f>
        <v>0</v>
      </c>
      <c r="I56" s="616">
        <f t="shared" si="9"/>
        <v>0</v>
      </c>
      <c r="J56" s="614">
        <f>'Membership Record'!J57+'Membership Record'!S57</f>
        <v>0</v>
      </c>
      <c r="K56" s="618">
        <f t="shared" si="10"/>
        <v>0</v>
      </c>
      <c r="L56" s="618">
        <f>'Membership Record'!K57+'Membership Record'!T57</f>
        <v>0</v>
      </c>
      <c r="M56" s="615">
        <f t="shared" si="11"/>
        <v>0</v>
      </c>
      <c r="N56" s="614">
        <f>'Membership Record'!L57+'Membership Record'!U57</f>
        <v>0</v>
      </c>
      <c r="O56" s="619">
        <f t="shared" si="12"/>
        <v>0</v>
      </c>
      <c r="P56" s="346"/>
      <c r="Q56" s="93"/>
      <c r="R56" s="94"/>
      <c r="S56" s="94"/>
      <c r="T56" s="330"/>
      <c r="U56" s="347"/>
      <c r="V56" s="92"/>
      <c r="W56" s="94"/>
      <c r="X56" s="95"/>
      <c r="Y56" s="95"/>
      <c r="Z56" s="95"/>
      <c r="AA56" s="94"/>
      <c r="AB56" s="346"/>
      <c r="AC56" s="93"/>
      <c r="AD56" s="94"/>
      <c r="AE56" s="94"/>
      <c r="AF56" s="330"/>
      <c r="AG56" s="347"/>
      <c r="AH56" s="92"/>
      <c r="AI56" s="94"/>
      <c r="AJ56" s="95"/>
      <c r="AK56" s="95"/>
      <c r="AL56" s="95"/>
      <c r="AM56" s="94"/>
      <c r="AN56" s="346"/>
      <c r="AO56" s="93"/>
      <c r="AP56" s="94"/>
      <c r="AQ56" s="94"/>
      <c r="AR56" s="330"/>
      <c r="AS56" s="347"/>
      <c r="AT56" s="92"/>
      <c r="AU56" s="94"/>
      <c r="AV56" s="95"/>
      <c r="AW56" s="95"/>
      <c r="AX56" s="95"/>
      <c r="AY56" s="94"/>
      <c r="AZ56" s="346"/>
      <c r="BA56" s="93"/>
      <c r="BB56" s="94"/>
      <c r="BC56" s="94"/>
      <c r="BD56" s="330"/>
      <c r="BE56" s="347"/>
      <c r="BF56" s="92"/>
      <c r="BG56" s="94"/>
      <c r="BH56" s="95"/>
      <c r="BI56" s="95"/>
      <c r="BJ56" s="95"/>
      <c r="BK56" s="94"/>
      <c r="BL56" s="346"/>
      <c r="BM56" s="93"/>
      <c r="BN56" s="94"/>
      <c r="BO56" s="94"/>
      <c r="BP56" s="330"/>
      <c r="BQ56" s="347"/>
      <c r="BR56" s="92"/>
      <c r="BS56" s="94"/>
      <c r="BT56" s="95"/>
      <c r="BU56" s="95"/>
      <c r="BV56" s="95"/>
      <c r="BW56" s="94"/>
      <c r="BX56" s="346"/>
      <c r="BY56" s="93"/>
      <c r="BZ56" s="94"/>
      <c r="CA56" s="94"/>
      <c r="CB56" s="330"/>
      <c r="CC56" s="347"/>
      <c r="CD56" s="92"/>
      <c r="CE56" s="94"/>
      <c r="CF56" s="95"/>
      <c r="CG56" s="95"/>
      <c r="CH56" s="95"/>
      <c r="CI56" s="94"/>
    </row>
    <row r="57" spans="1:87" x14ac:dyDescent="0.2">
      <c r="A57" s="8">
        <v>48</v>
      </c>
      <c r="B57" s="1125">
        <f>'Membership Record'!B58</f>
        <v>0</v>
      </c>
      <c r="C57" s="1125"/>
      <c r="D57" s="87">
        <f>'Membership Record'!G58+'Membership Record'!P58</f>
        <v>0</v>
      </c>
      <c r="E57" s="350">
        <f t="shared" si="7"/>
        <v>0</v>
      </c>
      <c r="F57" s="614">
        <f>'Membership Record'!H58+'Membership Record'!Q58</f>
        <v>0</v>
      </c>
      <c r="G57" s="615">
        <f t="shared" si="8"/>
        <v>0</v>
      </c>
      <c r="H57" s="614">
        <f>'Membership Record'!I58+'Membership Record'!R58</f>
        <v>0</v>
      </c>
      <c r="I57" s="616">
        <f t="shared" si="9"/>
        <v>0</v>
      </c>
      <c r="J57" s="614">
        <f>'Membership Record'!J58+'Membership Record'!S58</f>
        <v>0</v>
      </c>
      <c r="K57" s="618">
        <f t="shared" si="10"/>
        <v>0</v>
      </c>
      <c r="L57" s="618">
        <f>'Membership Record'!K58+'Membership Record'!T58</f>
        <v>0</v>
      </c>
      <c r="M57" s="615">
        <f t="shared" si="11"/>
        <v>0</v>
      </c>
      <c r="N57" s="614">
        <f>'Membership Record'!L58+'Membership Record'!U58</f>
        <v>0</v>
      </c>
      <c r="O57" s="619">
        <f t="shared" si="12"/>
        <v>0</v>
      </c>
      <c r="P57" s="346"/>
      <c r="Q57" s="93"/>
      <c r="R57" s="94"/>
      <c r="S57" s="94"/>
      <c r="T57" s="330"/>
      <c r="U57" s="347"/>
      <c r="V57" s="92"/>
      <c r="W57" s="94"/>
      <c r="X57" s="95"/>
      <c r="Y57" s="95"/>
      <c r="Z57" s="95"/>
      <c r="AA57" s="94"/>
      <c r="AB57" s="346"/>
      <c r="AC57" s="93"/>
      <c r="AD57" s="94"/>
      <c r="AE57" s="94"/>
      <c r="AF57" s="330"/>
      <c r="AG57" s="347"/>
      <c r="AH57" s="92"/>
      <c r="AI57" s="94"/>
      <c r="AJ57" s="95"/>
      <c r="AK57" s="95"/>
      <c r="AL57" s="95"/>
      <c r="AM57" s="94"/>
      <c r="AN57" s="346"/>
      <c r="AO57" s="93"/>
      <c r="AP57" s="94"/>
      <c r="AQ57" s="94"/>
      <c r="AR57" s="330"/>
      <c r="AS57" s="347"/>
      <c r="AT57" s="92"/>
      <c r="AU57" s="94"/>
      <c r="AV57" s="95"/>
      <c r="AW57" s="95"/>
      <c r="AX57" s="95"/>
      <c r="AY57" s="94"/>
      <c r="AZ57" s="346"/>
      <c r="BA57" s="93"/>
      <c r="BB57" s="94"/>
      <c r="BC57" s="94"/>
      <c r="BD57" s="330"/>
      <c r="BE57" s="347"/>
      <c r="BF57" s="92"/>
      <c r="BG57" s="94"/>
      <c r="BH57" s="95"/>
      <c r="BI57" s="95"/>
      <c r="BJ57" s="95"/>
      <c r="BK57" s="94"/>
      <c r="BL57" s="346"/>
      <c r="BM57" s="93"/>
      <c r="BN57" s="94"/>
      <c r="BO57" s="94"/>
      <c r="BP57" s="330"/>
      <c r="BQ57" s="347"/>
      <c r="BR57" s="92"/>
      <c r="BS57" s="94"/>
      <c r="BT57" s="95"/>
      <c r="BU57" s="95"/>
      <c r="BV57" s="95"/>
      <c r="BW57" s="94"/>
      <c r="BX57" s="346"/>
      <c r="BY57" s="93"/>
      <c r="BZ57" s="94"/>
      <c r="CA57" s="94"/>
      <c r="CB57" s="330"/>
      <c r="CC57" s="347"/>
      <c r="CD57" s="92"/>
      <c r="CE57" s="94"/>
      <c r="CF57" s="95"/>
      <c r="CG57" s="95"/>
      <c r="CH57" s="95"/>
      <c r="CI57" s="94"/>
    </row>
    <row r="58" spans="1:87" x14ac:dyDescent="0.2">
      <c r="A58" s="8">
        <v>49</v>
      </c>
      <c r="B58" s="1125">
        <f>'Membership Record'!B59</f>
        <v>0</v>
      </c>
      <c r="C58" s="1125"/>
      <c r="D58" s="87">
        <f>'Membership Record'!G59+'Membership Record'!P59</f>
        <v>0</v>
      </c>
      <c r="E58" s="350">
        <f t="shared" si="7"/>
        <v>0</v>
      </c>
      <c r="F58" s="614">
        <f>'Membership Record'!H59+'Membership Record'!Q59</f>
        <v>0</v>
      </c>
      <c r="G58" s="615">
        <f t="shared" si="8"/>
        <v>0</v>
      </c>
      <c r="H58" s="614">
        <f>'Membership Record'!I59+'Membership Record'!R59</f>
        <v>0</v>
      </c>
      <c r="I58" s="616">
        <f t="shared" si="9"/>
        <v>0</v>
      </c>
      <c r="J58" s="614">
        <f>'Membership Record'!J59+'Membership Record'!S59</f>
        <v>0</v>
      </c>
      <c r="K58" s="618">
        <f t="shared" si="10"/>
        <v>0</v>
      </c>
      <c r="L58" s="618">
        <f>'Membership Record'!K59+'Membership Record'!T59</f>
        <v>0</v>
      </c>
      <c r="M58" s="615">
        <f t="shared" si="11"/>
        <v>0</v>
      </c>
      <c r="N58" s="614">
        <f>'Membership Record'!L59+'Membership Record'!U59</f>
        <v>0</v>
      </c>
      <c r="O58" s="619">
        <f t="shared" si="12"/>
        <v>0</v>
      </c>
      <c r="P58" s="346"/>
      <c r="Q58" s="93"/>
      <c r="R58" s="94"/>
      <c r="S58" s="94"/>
      <c r="T58" s="330"/>
      <c r="U58" s="347"/>
      <c r="V58" s="92"/>
      <c r="W58" s="94"/>
      <c r="X58" s="95"/>
      <c r="Y58" s="95"/>
      <c r="Z58" s="95"/>
      <c r="AA58" s="94"/>
      <c r="AB58" s="346"/>
      <c r="AC58" s="93"/>
      <c r="AD58" s="94"/>
      <c r="AE58" s="94"/>
      <c r="AF58" s="330"/>
      <c r="AG58" s="347"/>
      <c r="AH58" s="92"/>
      <c r="AI58" s="94"/>
      <c r="AJ58" s="95"/>
      <c r="AK58" s="95"/>
      <c r="AL58" s="95"/>
      <c r="AM58" s="94"/>
      <c r="AN58" s="346"/>
      <c r="AO58" s="93"/>
      <c r="AP58" s="94"/>
      <c r="AQ58" s="94"/>
      <c r="AR58" s="330"/>
      <c r="AS58" s="347"/>
      <c r="AT58" s="92"/>
      <c r="AU58" s="94"/>
      <c r="AV58" s="95"/>
      <c r="AW58" s="95"/>
      <c r="AX58" s="95"/>
      <c r="AY58" s="94"/>
      <c r="AZ58" s="346"/>
      <c r="BA58" s="93"/>
      <c r="BB58" s="94"/>
      <c r="BC58" s="94"/>
      <c r="BD58" s="330"/>
      <c r="BE58" s="347"/>
      <c r="BF58" s="92"/>
      <c r="BG58" s="94"/>
      <c r="BH58" s="95"/>
      <c r="BI58" s="95"/>
      <c r="BJ58" s="95"/>
      <c r="BK58" s="94"/>
      <c r="BL58" s="346"/>
      <c r="BM58" s="93"/>
      <c r="BN58" s="94"/>
      <c r="BO58" s="94"/>
      <c r="BP58" s="330"/>
      <c r="BQ58" s="347"/>
      <c r="BR58" s="92"/>
      <c r="BS58" s="94"/>
      <c r="BT58" s="95"/>
      <c r="BU58" s="95"/>
      <c r="BV58" s="95"/>
      <c r="BW58" s="94"/>
      <c r="BX58" s="346"/>
      <c r="BY58" s="93"/>
      <c r="BZ58" s="94"/>
      <c r="CA58" s="94"/>
      <c r="CB58" s="330"/>
      <c r="CC58" s="347"/>
      <c r="CD58" s="92"/>
      <c r="CE58" s="94"/>
      <c r="CF58" s="95"/>
      <c r="CG58" s="95"/>
      <c r="CH58" s="95"/>
      <c r="CI58" s="94"/>
    </row>
    <row r="59" spans="1:87" x14ac:dyDescent="0.2">
      <c r="A59" s="8">
        <v>50</v>
      </c>
      <c r="B59" s="1125">
        <f>'Membership Record'!B60</f>
        <v>0</v>
      </c>
      <c r="C59" s="1125"/>
      <c r="D59" s="87">
        <f>'Membership Record'!G60+'Membership Record'!P60</f>
        <v>0</v>
      </c>
      <c r="E59" s="350">
        <f t="shared" si="7"/>
        <v>0</v>
      </c>
      <c r="F59" s="614">
        <f>'Membership Record'!H60+'Membership Record'!Q60</f>
        <v>0</v>
      </c>
      <c r="G59" s="615">
        <f t="shared" si="8"/>
        <v>0</v>
      </c>
      <c r="H59" s="614">
        <f>'Membership Record'!I60+'Membership Record'!R60</f>
        <v>0</v>
      </c>
      <c r="I59" s="616">
        <f t="shared" si="9"/>
        <v>0</v>
      </c>
      <c r="J59" s="614">
        <f>'Membership Record'!J60+'Membership Record'!S60</f>
        <v>0</v>
      </c>
      <c r="K59" s="618">
        <f t="shared" si="10"/>
        <v>0</v>
      </c>
      <c r="L59" s="618">
        <f>'Membership Record'!K60+'Membership Record'!T60</f>
        <v>0</v>
      </c>
      <c r="M59" s="615">
        <f t="shared" si="11"/>
        <v>0</v>
      </c>
      <c r="N59" s="614">
        <f>'Membership Record'!L60+'Membership Record'!U60</f>
        <v>0</v>
      </c>
      <c r="O59" s="619">
        <f t="shared" si="12"/>
        <v>0</v>
      </c>
      <c r="P59" s="346"/>
      <c r="Q59" s="93"/>
      <c r="R59" s="94"/>
      <c r="S59" s="94"/>
      <c r="T59" s="330"/>
      <c r="U59" s="347"/>
      <c r="V59" s="92"/>
      <c r="W59" s="94"/>
      <c r="X59" s="95"/>
      <c r="Y59" s="95"/>
      <c r="Z59" s="95"/>
      <c r="AA59" s="94"/>
      <c r="AB59" s="346"/>
      <c r="AC59" s="93"/>
      <c r="AD59" s="94"/>
      <c r="AE59" s="94"/>
      <c r="AF59" s="330"/>
      <c r="AG59" s="347"/>
      <c r="AH59" s="92"/>
      <c r="AI59" s="94"/>
      <c r="AJ59" s="95"/>
      <c r="AK59" s="95"/>
      <c r="AL59" s="95"/>
      <c r="AM59" s="94"/>
      <c r="AN59" s="346"/>
      <c r="AO59" s="93"/>
      <c r="AP59" s="94"/>
      <c r="AQ59" s="94"/>
      <c r="AR59" s="330"/>
      <c r="AS59" s="347"/>
      <c r="AT59" s="92"/>
      <c r="AU59" s="94"/>
      <c r="AV59" s="95"/>
      <c r="AW59" s="95"/>
      <c r="AX59" s="95"/>
      <c r="AY59" s="94"/>
      <c r="AZ59" s="346"/>
      <c r="BA59" s="93"/>
      <c r="BB59" s="94"/>
      <c r="BC59" s="94"/>
      <c r="BD59" s="330"/>
      <c r="BE59" s="347"/>
      <c r="BF59" s="92"/>
      <c r="BG59" s="94"/>
      <c r="BH59" s="95"/>
      <c r="BI59" s="95"/>
      <c r="BJ59" s="95"/>
      <c r="BK59" s="94"/>
      <c r="BL59" s="346"/>
      <c r="BM59" s="93"/>
      <c r="BN59" s="94"/>
      <c r="BO59" s="94"/>
      <c r="BP59" s="330"/>
      <c r="BQ59" s="347"/>
      <c r="BR59" s="92"/>
      <c r="BS59" s="94"/>
      <c r="BT59" s="95"/>
      <c r="BU59" s="95"/>
      <c r="BV59" s="95"/>
      <c r="BW59" s="94"/>
      <c r="BX59" s="346"/>
      <c r="BY59" s="93"/>
      <c r="BZ59" s="94"/>
      <c r="CA59" s="94"/>
      <c r="CB59" s="330"/>
      <c r="CC59" s="347"/>
      <c r="CD59" s="92"/>
      <c r="CE59" s="94"/>
      <c r="CF59" s="95"/>
      <c r="CG59" s="95"/>
      <c r="CH59" s="95"/>
      <c r="CI59" s="94"/>
    </row>
    <row r="60" spans="1:87" x14ac:dyDescent="0.2">
      <c r="A60" s="8">
        <v>51</v>
      </c>
      <c r="B60" s="1125">
        <f>'Membership Record'!B61</f>
        <v>0</v>
      </c>
      <c r="C60" s="1125"/>
      <c r="D60" s="87">
        <f>'Membership Record'!G61+'Membership Record'!P61</f>
        <v>0</v>
      </c>
      <c r="E60" s="350">
        <f t="shared" si="7"/>
        <v>0</v>
      </c>
      <c r="F60" s="614">
        <f>'Membership Record'!H61+'Membership Record'!Q61</f>
        <v>0</v>
      </c>
      <c r="G60" s="615">
        <f t="shared" si="8"/>
        <v>0</v>
      </c>
      <c r="H60" s="614">
        <f>'Membership Record'!I61+'Membership Record'!R61</f>
        <v>0</v>
      </c>
      <c r="I60" s="616">
        <f t="shared" si="9"/>
        <v>0</v>
      </c>
      <c r="J60" s="614">
        <f>'Membership Record'!J61+'Membership Record'!S61</f>
        <v>0</v>
      </c>
      <c r="K60" s="618">
        <f t="shared" si="10"/>
        <v>0</v>
      </c>
      <c r="L60" s="618">
        <f>'Membership Record'!K61+'Membership Record'!T61</f>
        <v>0</v>
      </c>
      <c r="M60" s="615">
        <f t="shared" si="11"/>
        <v>0</v>
      </c>
      <c r="N60" s="614">
        <f>'Membership Record'!L61+'Membership Record'!U61</f>
        <v>0</v>
      </c>
      <c r="O60" s="619">
        <f t="shared" si="12"/>
        <v>0</v>
      </c>
      <c r="P60" s="346"/>
      <c r="Q60" s="93"/>
      <c r="R60" s="94"/>
      <c r="S60" s="94"/>
      <c r="T60" s="330"/>
      <c r="U60" s="347"/>
      <c r="V60" s="92"/>
      <c r="W60" s="94"/>
      <c r="X60" s="95"/>
      <c r="Y60" s="95"/>
      <c r="Z60" s="95"/>
      <c r="AA60" s="94"/>
      <c r="AB60" s="346"/>
      <c r="AC60" s="93"/>
      <c r="AD60" s="94"/>
      <c r="AE60" s="94"/>
      <c r="AF60" s="330"/>
      <c r="AG60" s="347"/>
      <c r="AH60" s="92"/>
      <c r="AI60" s="94"/>
      <c r="AJ60" s="95"/>
      <c r="AK60" s="95"/>
      <c r="AL60" s="95"/>
      <c r="AM60" s="94"/>
      <c r="AN60" s="346"/>
      <c r="AO60" s="93"/>
      <c r="AP60" s="94"/>
      <c r="AQ60" s="94"/>
      <c r="AR60" s="330"/>
      <c r="AS60" s="347"/>
      <c r="AT60" s="92"/>
      <c r="AU60" s="94"/>
      <c r="AV60" s="95"/>
      <c r="AW60" s="95"/>
      <c r="AX60" s="95"/>
      <c r="AY60" s="94"/>
      <c r="AZ60" s="346"/>
      <c r="BA60" s="93"/>
      <c r="BB60" s="94"/>
      <c r="BC60" s="94"/>
      <c r="BD60" s="330"/>
      <c r="BE60" s="347"/>
      <c r="BF60" s="92"/>
      <c r="BG60" s="94"/>
      <c r="BH60" s="95"/>
      <c r="BI60" s="95"/>
      <c r="BJ60" s="95"/>
      <c r="BK60" s="94"/>
      <c r="BL60" s="346"/>
      <c r="BM60" s="93"/>
      <c r="BN60" s="94"/>
      <c r="BO60" s="94"/>
      <c r="BP60" s="330"/>
      <c r="BQ60" s="347"/>
      <c r="BR60" s="92"/>
      <c r="BS60" s="94"/>
      <c r="BT60" s="95"/>
      <c r="BU60" s="95"/>
      <c r="BV60" s="95"/>
      <c r="BW60" s="94"/>
      <c r="BX60" s="346"/>
      <c r="BY60" s="93"/>
      <c r="BZ60" s="94"/>
      <c r="CA60" s="94"/>
      <c r="CB60" s="330"/>
      <c r="CC60" s="347"/>
      <c r="CD60" s="92"/>
      <c r="CE60" s="94"/>
      <c r="CF60" s="95"/>
      <c r="CG60" s="95"/>
      <c r="CH60" s="95"/>
      <c r="CI60" s="94"/>
    </row>
    <row r="61" spans="1:87" x14ac:dyDescent="0.2">
      <c r="A61" s="8">
        <v>52</v>
      </c>
      <c r="B61" s="1125">
        <f>'Membership Record'!B62</f>
        <v>0</v>
      </c>
      <c r="C61" s="1125"/>
      <c r="D61" s="87">
        <f>'Membership Record'!G62+'Membership Record'!P62</f>
        <v>0</v>
      </c>
      <c r="E61" s="350">
        <f t="shared" si="7"/>
        <v>0</v>
      </c>
      <c r="F61" s="614">
        <f>'Membership Record'!H62+'Membership Record'!Q62</f>
        <v>0</v>
      </c>
      <c r="G61" s="615">
        <f t="shared" si="8"/>
        <v>0</v>
      </c>
      <c r="H61" s="614">
        <f>'Membership Record'!I62+'Membership Record'!R62</f>
        <v>0</v>
      </c>
      <c r="I61" s="616">
        <f t="shared" si="9"/>
        <v>0</v>
      </c>
      <c r="J61" s="614">
        <f>'Membership Record'!J62+'Membership Record'!S62</f>
        <v>0</v>
      </c>
      <c r="K61" s="618">
        <f t="shared" si="10"/>
        <v>0</v>
      </c>
      <c r="L61" s="618">
        <f>'Membership Record'!K62+'Membership Record'!T62</f>
        <v>0</v>
      </c>
      <c r="M61" s="615">
        <f t="shared" si="11"/>
        <v>0</v>
      </c>
      <c r="N61" s="614">
        <f>'Membership Record'!L62+'Membership Record'!U62</f>
        <v>0</v>
      </c>
      <c r="O61" s="619">
        <f t="shared" si="12"/>
        <v>0</v>
      </c>
      <c r="P61" s="346"/>
      <c r="Q61" s="93"/>
      <c r="R61" s="94"/>
      <c r="S61" s="94"/>
      <c r="T61" s="330"/>
      <c r="U61" s="347"/>
      <c r="V61" s="92"/>
      <c r="W61" s="94"/>
      <c r="X61" s="95"/>
      <c r="Y61" s="95"/>
      <c r="Z61" s="95"/>
      <c r="AA61" s="94"/>
      <c r="AB61" s="346"/>
      <c r="AC61" s="93"/>
      <c r="AD61" s="94"/>
      <c r="AE61" s="94"/>
      <c r="AF61" s="330"/>
      <c r="AG61" s="347"/>
      <c r="AH61" s="92"/>
      <c r="AI61" s="94"/>
      <c r="AJ61" s="95"/>
      <c r="AK61" s="95"/>
      <c r="AL61" s="95"/>
      <c r="AM61" s="94"/>
      <c r="AN61" s="346"/>
      <c r="AO61" s="93"/>
      <c r="AP61" s="94"/>
      <c r="AQ61" s="94"/>
      <c r="AR61" s="330"/>
      <c r="AS61" s="347"/>
      <c r="AT61" s="92"/>
      <c r="AU61" s="94"/>
      <c r="AV61" s="95"/>
      <c r="AW61" s="95"/>
      <c r="AX61" s="95"/>
      <c r="AY61" s="94"/>
      <c r="AZ61" s="346"/>
      <c r="BA61" s="93"/>
      <c r="BB61" s="94"/>
      <c r="BC61" s="94"/>
      <c r="BD61" s="330"/>
      <c r="BE61" s="347"/>
      <c r="BF61" s="92"/>
      <c r="BG61" s="94"/>
      <c r="BH61" s="95"/>
      <c r="BI61" s="95"/>
      <c r="BJ61" s="95"/>
      <c r="BK61" s="94"/>
      <c r="BL61" s="346"/>
      <c r="BM61" s="93"/>
      <c r="BN61" s="94"/>
      <c r="BO61" s="94"/>
      <c r="BP61" s="330"/>
      <c r="BQ61" s="347"/>
      <c r="BR61" s="92"/>
      <c r="BS61" s="94"/>
      <c r="BT61" s="95"/>
      <c r="BU61" s="95"/>
      <c r="BV61" s="95"/>
      <c r="BW61" s="94"/>
      <c r="BX61" s="346"/>
      <c r="BY61" s="93"/>
      <c r="BZ61" s="94"/>
      <c r="CA61" s="94"/>
      <c r="CB61" s="330"/>
      <c r="CC61" s="347"/>
      <c r="CD61" s="92"/>
      <c r="CE61" s="94"/>
      <c r="CF61" s="95"/>
      <c r="CG61" s="95"/>
      <c r="CH61" s="95"/>
      <c r="CI61" s="94"/>
    </row>
    <row r="62" spans="1:87" x14ac:dyDescent="0.2">
      <c r="A62" s="8">
        <v>53</v>
      </c>
      <c r="B62" s="1125">
        <f>'Membership Record'!B63</f>
        <v>0</v>
      </c>
      <c r="C62" s="1125"/>
      <c r="D62" s="87">
        <f>'Membership Record'!G63+'Membership Record'!P63</f>
        <v>0</v>
      </c>
      <c r="E62" s="350">
        <f t="shared" si="7"/>
        <v>0</v>
      </c>
      <c r="F62" s="614">
        <f>'Membership Record'!H63+'Membership Record'!Q63</f>
        <v>0</v>
      </c>
      <c r="G62" s="615">
        <f t="shared" si="8"/>
        <v>0</v>
      </c>
      <c r="H62" s="614">
        <f>'Membership Record'!I63+'Membership Record'!R63</f>
        <v>0</v>
      </c>
      <c r="I62" s="616">
        <f t="shared" si="9"/>
        <v>0</v>
      </c>
      <c r="J62" s="614">
        <f>'Membership Record'!J63+'Membership Record'!S63</f>
        <v>0</v>
      </c>
      <c r="K62" s="618">
        <f t="shared" si="10"/>
        <v>0</v>
      </c>
      <c r="L62" s="618">
        <f>'Membership Record'!K63+'Membership Record'!T63</f>
        <v>0</v>
      </c>
      <c r="M62" s="615">
        <f t="shared" si="11"/>
        <v>0</v>
      </c>
      <c r="N62" s="614">
        <f>'Membership Record'!L63+'Membership Record'!U63</f>
        <v>0</v>
      </c>
      <c r="O62" s="619">
        <f t="shared" si="12"/>
        <v>0</v>
      </c>
      <c r="P62" s="346"/>
      <c r="Q62" s="93"/>
      <c r="R62" s="94"/>
      <c r="S62" s="94"/>
      <c r="T62" s="330"/>
      <c r="U62" s="347"/>
      <c r="V62" s="92"/>
      <c r="W62" s="94"/>
      <c r="X62" s="95"/>
      <c r="Y62" s="95"/>
      <c r="Z62" s="95"/>
      <c r="AA62" s="94"/>
      <c r="AB62" s="346"/>
      <c r="AC62" s="93"/>
      <c r="AD62" s="94"/>
      <c r="AE62" s="94"/>
      <c r="AF62" s="330"/>
      <c r="AG62" s="347"/>
      <c r="AH62" s="92"/>
      <c r="AI62" s="94"/>
      <c r="AJ62" s="95"/>
      <c r="AK62" s="95"/>
      <c r="AL62" s="95"/>
      <c r="AM62" s="94"/>
      <c r="AN62" s="346"/>
      <c r="AO62" s="93"/>
      <c r="AP62" s="94"/>
      <c r="AQ62" s="94"/>
      <c r="AR62" s="330"/>
      <c r="AS62" s="347"/>
      <c r="AT62" s="92"/>
      <c r="AU62" s="94"/>
      <c r="AV62" s="95"/>
      <c r="AW62" s="95"/>
      <c r="AX62" s="95"/>
      <c r="AY62" s="94"/>
      <c r="AZ62" s="346"/>
      <c r="BA62" s="93"/>
      <c r="BB62" s="94"/>
      <c r="BC62" s="94"/>
      <c r="BD62" s="330"/>
      <c r="BE62" s="347"/>
      <c r="BF62" s="92"/>
      <c r="BG62" s="94"/>
      <c r="BH62" s="95"/>
      <c r="BI62" s="95"/>
      <c r="BJ62" s="95"/>
      <c r="BK62" s="94"/>
      <c r="BL62" s="346"/>
      <c r="BM62" s="93"/>
      <c r="BN62" s="94"/>
      <c r="BO62" s="94"/>
      <c r="BP62" s="330"/>
      <c r="BQ62" s="347"/>
      <c r="BR62" s="92"/>
      <c r="BS62" s="94"/>
      <c r="BT62" s="95"/>
      <c r="BU62" s="95"/>
      <c r="BV62" s="95"/>
      <c r="BW62" s="94"/>
      <c r="BX62" s="346"/>
      <c r="BY62" s="93"/>
      <c r="BZ62" s="94"/>
      <c r="CA62" s="94"/>
      <c r="CB62" s="330"/>
      <c r="CC62" s="347"/>
      <c r="CD62" s="92"/>
      <c r="CE62" s="94"/>
      <c r="CF62" s="95"/>
      <c r="CG62" s="95"/>
      <c r="CH62" s="95"/>
      <c r="CI62" s="94"/>
    </row>
    <row r="63" spans="1:87" x14ac:dyDescent="0.2">
      <c r="A63" s="8">
        <v>54</v>
      </c>
      <c r="B63" s="1125">
        <f>'Membership Record'!B64</f>
        <v>0</v>
      </c>
      <c r="C63" s="1125"/>
      <c r="D63" s="87">
        <f>'Membership Record'!G64+'Membership Record'!P64</f>
        <v>0</v>
      </c>
      <c r="E63" s="350">
        <f t="shared" si="7"/>
        <v>0</v>
      </c>
      <c r="F63" s="614">
        <f>'Membership Record'!H64+'Membership Record'!Q64</f>
        <v>0</v>
      </c>
      <c r="G63" s="615">
        <f t="shared" si="8"/>
        <v>0</v>
      </c>
      <c r="H63" s="614">
        <f>'Membership Record'!I64+'Membership Record'!R64</f>
        <v>0</v>
      </c>
      <c r="I63" s="616">
        <f t="shared" si="9"/>
        <v>0</v>
      </c>
      <c r="J63" s="614">
        <f>'Membership Record'!J64+'Membership Record'!S64</f>
        <v>0</v>
      </c>
      <c r="K63" s="618">
        <f t="shared" si="10"/>
        <v>0</v>
      </c>
      <c r="L63" s="618">
        <f>'Membership Record'!K64+'Membership Record'!T64</f>
        <v>0</v>
      </c>
      <c r="M63" s="615">
        <f t="shared" si="11"/>
        <v>0</v>
      </c>
      <c r="N63" s="614">
        <f>'Membership Record'!L64+'Membership Record'!U64</f>
        <v>0</v>
      </c>
      <c r="O63" s="619">
        <f t="shared" si="12"/>
        <v>0</v>
      </c>
      <c r="P63" s="346"/>
      <c r="Q63" s="93"/>
      <c r="R63" s="94"/>
      <c r="S63" s="94"/>
      <c r="T63" s="330"/>
      <c r="U63" s="347"/>
      <c r="V63" s="92"/>
      <c r="W63" s="94"/>
      <c r="X63" s="95"/>
      <c r="Y63" s="95"/>
      <c r="Z63" s="95"/>
      <c r="AA63" s="94"/>
      <c r="AB63" s="346"/>
      <c r="AC63" s="93"/>
      <c r="AD63" s="94"/>
      <c r="AE63" s="94"/>
      <c r="AF63" s="330"/>
      <c r="AG63" s="347"/>
      <c r="AH63" s="92"/>
      <c r="AI63" s="94"/>
      <c r="AJ63" s="95"/>
      <c r="AK63" s="95"/>
      <c r="AL63" s="95"/>
      <c r="AM63" s="94"/>
      <c r="AN63" s="346"/>
      <c r="AO63" s="93"/>
      <c r="AP63" s="94"/>
      <c r="AQ63" s="94"/>
      <c r="AR63" s="330"/>
      <c r="AS63" s="347"/>
      <c r="AT63" s="92"/>
      <c r="AU63" s="94"/>
      <c r="AV63" s="95"/>
      <c r="AW63" s="95"/>
      <c r="AX63" s="95"/>
      <c r="AY63" s="94"/>
      <c r="AZ63" s="346"/>
      <c r="BA63" s="93"/>
      <c r="BB63" s="94"/>
      <c r="BC63" s="94"/>
      <c r="BD63" s="330"/>
      <c r="BE63" s="347"/>
      <c r="BF63" s="92"/>
      <c r="BG63" s="94"/>
      <c r="BH63" s="95"/>
      <c r="BI63" s="95"/>
      <c r="BJ63" s="95"/>
      <c r="BK63" s="94"/>
      <c r="BL63" s="346"/>
      <c r="BM63" s="93"/>
      <c r="BN63" s="94"/>
      <c r="BO63" s="94"/>
      <c r="BP63" s="330"/>
      <c r="BQ63" s="347"/>
      <c r="BR63" s="92"/>
      <c r="BS63" s="94"/>
      <c r="BT63" s="95"/>
      <c r="BU63" s="95"/>
      <c r="BV63" s="95"/>
      <c r="BW63" s="94"/>
      <c r="BX63" s="346"/>
      <c r="BY63" s="93"/>
      <c r="BZ63" s="94"/>
      <c r="CA63" s="94"/>
      <c r="CB63" s="330"/>
      <c r="CC63" s="347"/>
      <c r="CD63" s="92"/>
      <c r="CE63" s="94"/>
      <c r="CF63" s="95"/>
      <c r="CG63" s="95"/>
      <c r="CH63" s="95"/>
      <c r="CI63" s="94"/>
    </row>
    <row r="64" spans="1:87" x14ac:dyDescent="0.2">
      <c r="A64" s="8">
        <v>55</v>
      </c>
      <c r="B64" s="1125">
        <f>'Membership Record'!B65</f>
        <v>0</v>
      </c>
      <c r="C64" s="1125"/>
      <c r="D64" s="87">
        <f>'Membership Record'!G65+'Membership Record'!P65</f>
        <v>0</v>
      </c>
      <c r="E64" s="350">
        <f t="shared" si="7"/>
        <v>0</v>
      </c>
      <c r="F64" s="614">
        <f>'Membership Record'!H65+'Membership Record'!Q65</f>
        <v>0</v>
      </c>
      <c r="G64" s="615">
        <f t="shared" si="8"/>
        <v>0</v>
      </c>
      <c r="H64" s="614">
        <f>'Membership Record'!I65+'Membership Record'!R65</f>
        <v>0</v>
      </c>
      <c r="I64" s="616">
        <f t="shared" si="9"/>
        <v>0</v>
      </c>
      <c r="J64" s="614">
        <f>'Membership Record'!J65+'Membership Record'!S65</f>
        <v>0</v>
      </c>
      <c r="K64" s="618">
        <f t="shared" si="10"/>
        <v>0</v>
      </c>
      <c r="L64" s="618">
        <f>'Membership Record'!K65+'Membership Record'!T65</f>
        <v>0</v>
      </c>
      <c r="M64" s="615">
        <f t="shared" si="11"/>
        <v>0</v>
      </c>
      <c r="N64" s="614">
        <f>'Membership Record'!L65+'Membership Record'!U65</f>
        <v>0</v>
      </c>
      <c r="O64" s="619">
        <f t="shared" si="12"/>
        <v>0</v>
      </c>
      <c r="P64" s="346"/>
      <c r="Q64" s="93"/>
      <c r="R64" s="94"/>
      <c r="S64" s="94"/>
      <c r="T64" s="330"/>
      <c r="U64" s="347"/>
      <c r="V64" s="92"/>
      <c r="W64" s="94"/>
      <c r="X64" s="95"/>
      <c r="Y64" s="95"/>
      <c r="Z64" s="95"/>
      <c r="AA64" s="94"/>
      <c r="AB64" s="346"/>
      <c r="AC64" s="93"/>
      <c r="AD64" s="94"/>
      <c r="AE64" s="94"/>
      <c r="AF64" s="330"/>
      <c r="AG64" s="347"/>
      <c r="AH64" s="92"/>
      <c r="AI64" s="94"/>
      <c r="AJ64" s="95"/>
      <c r="AK64" s="95"/>
      <c r="AL64" s="95"/>
      <c r="AM64" s="94"/>
      <c r="AN64" s="346"/>
      <c r="AO64" s="93"/>
      <c r="AP64" s="94"/>
      <c r="AQ64" s="94"/>
      <c r="AR64" s="330"/>
      <c r="AS64" s="347"/>
      <c r="AT64" s="92"/>
      <c r="AU64" s="94"/>
      <c r="AV64" s="95"/>
      <c r="AW64" s="95"/>
      <c r="AX64" s="95"/>
      <c r="AY64" s="94"/>
      <c r="AZ64" s="346"/>
      <c r="BA64" s="93"/>
      <c r="BB64" s="94"/>
      <c r="BC64" s="94"/>
      <c r="BD64" s="330"/>
      <c r="BE64" s="347"/>
      <c r="BF64" s="92"/>
      <c r="BG64" s="94"/>
      <c r="BH64" s="95"/>
      <c r="BI64" s="95"/>
      <c r="BJ64" s="95"/>
      <c r="BK64" s="94"/>
      <c r="BL64" s="346"/>
      <c r="BM64" s="93"/>
      <c r="BN64" s="94"/>
      <c r="BO64" s="94"/>
      <c r="BP64" s="330"/>
      <c r="BQ64" s="347"/>
      <c r="BR64" s="92"/>
      <c r="BS64" s="94"/>
      <c r="BT64" s="95"/>
      <c r="BU64" s="95"/>
      <c r="BV64" s="95"/>
      <c r="BW64" s="94"/>
      <c r="BX64" s="346"/>
      <c r="BY64" s="93"/>
      <c r="BZ64" s="94"/>
      <c r="CA64" s="94"/>
      <c r="CB64" s="330"/>
      <c r="CC64" s="347"/>
      <c r="CD64" s="92"/>
      <c r="CE64" s="94"/>
      <c r="CF64" s="95"/>
      <c r="CG64" s="95"/>
      <c r="CH64" s="95"/>
      <c r="CI64" s="94"/>
    </row>
    <row r="65" spans="1:87" x14ac:dyDescent="0.2">
      <c r="A65" s="8">
        <v>56</v>
      </c>
      <c r="B65" s="1125">
        <f>'Membership Record'!B66</f>
        <v>0</v>
      </c>
      <c r="C65" s="1125"/>
      <c r="D65" s="87">
        <f>'Membership Record'!G66+'Membership Record'!P66</f>
        <v>0</v>
      </c>
      <c r="E65" s="350">
        <f t="shared" si="7"/>
        <v>0</v>
      </c>
      <c r="F65" s="614">
        <f>'Membership Record'!H66+'Membership Record'!Q66</f>
        <v>0</v>
      </c>
      <c r="G65" s="615">
        <f t="shared" si="8"/>
        <v>0</v>
      </c>
      <c r="H65" s="614">
        <f>'Membership Record'!I66+'Membership Record'!R66</f>
        <v>0</v>
      </c>
      <c r="I65" s="616">
        <f t="shared" si="9"/>
        <v>0</v>
      </c>
      <c r="J65" s="614">
        <f>'Membership Record'!J66+'Membership Record'!S66</f>
        <v>0</v>
      </c>
      <c r="K65" s="618">
        <f t="shared" si="10"/>
        <v>0</v>
      </c>
      <c r="L65" s="618">
        <f>'Membership Record'!K66+'Membership Record'!T66</f>
        <v>0</v>
      </c>
      <c r="M65" s="615">
        <f t="shared" si="11"/>
        <v>0</v>
      </c>
      <c r="N65" s="614">
        <f>'Membership Record'!L66+'Membership Record'!U66</f>
        <v>0</v>
      </c>
      <c r="O65" s="619">
        <f t="shared" si="12"/>
        <v>0</v>
      </c>
      <c r="P65" s="346"/>
      <c r="Q65" s="93"/>
      <c r="R65" s="94"/>
      <c r="S65" s="94"/>
      <c r="T65" s="330"/>
      <c r="U65" s="347"/>
      <c r="V65" s="92"/>
      <c r="W65" s="94"/>
      <c r="X65" s="95"/>
      <c r="Y65" s="95"/>
      <c r="Z65" s="95"/>
      <c r="AA65" s="94"/>
      <c r="AB65" s="346"/>
      <c r="AC65" s="93"/>
      <c r="AD65" s="94"/>
      <c r="AE65" s="94"/>
      <c r="AF65" s="330"/>
      <c r="AG65" s="347"/>
      <c r="AH65" s="92"/>
      <c r="AI65" s="94"/>
      <c r="AJ65" s="95"/>
      <c r="AK65" s="95"/>
      <c r="AL65" s="95"/>
      <c r="AM65" s="94"/>
      <c r="AN65" s="346"/>
      <c r="AO65" s="93"/>
      <c r="AP65" s="94"/>
      <c r="AQ65" s="94"/>
      <c r="AR65" s="330"/>
      <c r="AS65" s="347"/>
      <c r="AT65" s="92"/>
      <c r="AU65" s="94"/>
      <c r="AV65" s="95"/>
      <c r="AW65" s="95"/>
      <c r="AX65" s="95"/>
      <c r="AY65" s="94"/>
      <c r="AZ65" s="346"/>
      <c r="BA65" s="93"/>
      <c r="BB65" s="94"/>
      <c r="BC65" s="94"/>
      <c r="BD65" s="330"/>
      <c r="BE65" s="347"/>
      <c r="BF65" s="92"/>
      <c r="BG65" s="94"/>
      <c r="BH65" s="95"/>
      <c r="BI65" s="95"/>
      <c r="BJ65" s="95"/>
      <c r="BK65" s="94"/>
      <c r="BL65" s="346"/>
      <c r="BM65" s="93"/>
      <c r="BN65" s="94"/>
      <c r="BO65" s="94"/>
      <c r="BP65" s="330"/>
      <c r="BQ65" s="347"/>
      <c r="BR65" s="92"/>
      <c r="BS65" s="94"/>
      <c r="BT65" s="95"/>
      <c r="BU65" s="95"/>
      <c r="BV65" s="95"/>
      <c r="BW65" s="94"/>
      <c r="BX65" s="346"/>
      <c r="BY65" s="93"/>
      <c r="BZ65" s="94"/>
      <c r="CA65" s="94"/>
      <c r="CB65" s="330"/>
      <c r="CC65" s="347"/>
      <c r="CD65" s="92"/>
      <c r="CE65" s="94"/>
      <c r="CF65" s="95"/>
      <c r="CG65" s="95"/>
      <c r="CH65" s="95"/>
      <c r="CI65" s="94"/>
    </row>
    <row r="66" spans="1:87" x14ac:dyDescent="0.2">
      <c r="A66" s="8">
        <v>57</v>
      </c>
      <c r="B66" s="1125">
        <f>'Membership Record'!B67</f>
        <v>0</v>
      </c>
      <c r="C66" s="1125"/>
      <c r="D66" s="87">
        <f>'Membership Record'!G67+'Membership Record'!P67</f>
        <v>0</v>
      </c>
      <c r="E66" s="350">
        <f t="shared" si="7"/>
        <v>0</v>
      </c>
      <c r="F66" s="614">
        <f>'Membership Record'!H67+'Membership Record'!Q67</f>
        <v>0</v>
      </c>
      <c r="G66" s="615">
        <f t="shared" si="8"/>
        <v>0</v>
      </c>
      <c r="H66" s="614">
        <f>'Membership Record'!I67+'Membership Record'!R67</f>
        <v>0</v>
      </c>
      <c r="I66" s="616">
        <f t="shared" si="9"/>
        <v>0</v>
      </c>
      <c r="J66" s="614">
        <f>'Membership Record'!J67+'Membership Record'!S67</f>
        <v>0</v>
      </c>
      <c r="K66" s="618">
        <f t="shared" si="10"/>
        <v>0</v>
      </c>
      <c r="L66" s="618">
        <f>'Membership Record'!K67+'Membership Record'!T67</f>
        <v>0</v>
      </c>
      <c r="M66" s="615">
        <f t="shared" si="11"/>
        <v>0</v>
      </c>
      <c r="N66" s="614">
        <f>'Membership Record'!L67+'Membership Record'!U67</f>
        <v>0</v>
      </c>
      <c r="O66" s="619">
        <f t="shared" si="12"/>
        <v>0</v>
      </c>
      <c r="P66" s="346"/>
      <c r="Q66" s="93"/>
      <c r="R66" s="94"/>
      <c r="S66" s="94"/>
      <c r="T66" s="330"/>
      <c r="U66" s="347"/>
      <c r="V66" s="92"/>
      <c r="W66" s="94"/>
      <c r="X66" s="95"/>
      <c r="Y66" s="95"/>
      <c r="Z66" s="95"/>
      <c r="AA66" s="94"/>
      <c r="AB66" s="346"/>
      <c r="AC66" s="93"/>
      <c r="AD66" s="94"/>
      <c r="AE66" s="94"/>
      <c r="AF66" s="330"/>
      <c r="AG66" s="347"/>
      <c r="AH66" s="92"/>
      <c r="AI66" s="94"/>
      <c r="AJ66" s="95"/>
      <c r="AK66" s="95"/>
      <c r="AL66" s="95"/>
      <c r="AM66" s="94"/>
      <c r="AN66" s="346"/>
      <c r="AO66" s="93"/>
      <c r="AP66" s="94"/>
      <c r="AQ66" s="94"/>
      <c r="AR66" s="330"/>
      <c r="AS66" s="347"/>
      <c r="AT66" s="92"/>
      <c r="AU66" s="94"/>
      <c r="AV66" s="95"/>
      <c r="AW66" s="95"/>
      <c r="AX66" s="95"/>
      <c r="AY66" s="94"/>
      <c r="AZ66" s="346"/>
      <c r="BA66" s="93"/>
      <c r="BB66" s="94"/>
      <c r="BC66" s="94"/>
      <c r="BD66" s="330"/>
      <c r="BE66" s="347"/>
      <c r="BF66" s="92"/>
      <c r="BG66" s="94"/>
      <c r="BH66" s="95"/>
      <c r="BI66" s="95"/>
      <c r="BJ66" s="95"/>
      <c r="BK66" s="94"/>
      <c r="BL66" s="346"/>
      <c r="BM66" s="93"/>
      <c r="BN66" s="94"/>
      <c r="BO66" s="94"/>
      <c r="BP66" s="330"/>
      <c r="BQ66" s="347"/>
      <c r="BR66" s="92"/>
      <c r="BS66" s="94"/>
      <c r="BT66" s="95"/>
      <c r="BU66" s="95"/>
      <c r="BV66" s="95"/>
      <c r="BW66" s="94"/>
      <c r="BX66" s="346"/>
      <c r="BY66" s="93"/>
      <c r="BZ66" s="94"/>
      <c r="CA66" s="94"/>
      <c r="CB66" s="330"/>
      <c r="CC66" s="347"/>
      <c r="CD66" s="92"/>
      <c r="CE66" s="94"/>
      <c r="CF66" s="95"/>
      <c r="CG66" s="95"/>
      <c r="CH66" s="95"/>
      <c r="CI66" s="94"/>
    </row>
    <row r="67" spans="1:87" x14ac:dyDescent="0.2">
      <c r="A67" s="8">
        <v>58</v>
      </c>
      <c r="B67" s="1125">
        <f>'Membership Record'!B68</f>
        <v>0</v>
      </c>
      <c r="C67" s="1125"/>
      <c r="D67" s="87">
        <f>'Membership Record'!G68+'Membership Record'!P68</f>
        <v>0</v>
      </c>
      <c r="E67" s="350">
        <f t="shared" si="7"/>
        <v>0</v>
      </c>
      <c r="F67" s="614">
        <f>'Membership Record'!H68+'Membership Record'!Q68</f>
        <v>0</v>
      </c>
      <c r="G67" s="615">
        <f t="shared" si="8"/>
        <v>0</v>
      </c>
      <c r="H67" s="614">
        <f>'Membership Record'!I68+'Membership Record'!R68</f>
        <v>0</v>
      </c>
      <c r="I67" s="616">
        <f t="shared" si="9"/>
        <v>0</v>
      </c>
      <c r="J67" s="614">
        <f>'Membership Record'!J68+'Membership Record'!S68</f>
        <v>0</v>
      </c>
      <c r="K67" s="618">
        <f t="shared" si="10"/>
        <v>0</v>
      </c>
      <c r="L67" s="618">
        <f>'Membership Record'!K68+'Membership Record'!T68</f>
        <v>0</v>
      </c>
      <c r="M67" s="615">
        <f t="shared" si="11"/>
        <v>0</v>
      </c>
      <c r="N67" s="614">
        <f>'Membership Record'!L68+'Membership Record'!U68</f>
        <v>0</v>
      </c>
      <c r="O67" s="619">
        <f t="shared" si="12"/>
        <v>0</v>
      </c>
      <c r="P67" s="346"/>
      <c r="Q67" s="93"/>
      <c r="R67" s="94"/>
      <c r="S67" s="94"/>
      <c r="T67" s="330"/>
      <c r="U67" s="347"/>
      <c r="V67" s="92"/>
      <c r="W67" s="94"/>
      <c r="X67" s="95"/>
      <c r="Y67" s="95"/>
      <c r="Z67" s="95"/>
      <c r="AA67" s="94"/>
      <c r="AB67" s="346"/>
      <c r="AC67" s="93"/>
      <c r="AD67" s="94"/>
      <c r="AE67" s="94"/>
      <c r="AF67" s="330"/>
      <c r="AG67" s="347"/>
      <c r="AH67" s="92"/>
      <c r="AI67" s="94"/>
      <c r="AJ67" s="95"/>
      <c r="AK67" s="95"/>
      <c r="AL67" s="95"/>
      <c r="AM67" s="94"/>
      <c r="AN67" s="346"/>
      <c r="AO67" s="93"/>
      <c r="AP67" s="94"/>
      <c r="AQ67" s="94"/>
      <c r="AR67" s="330"/>
      <c r="AS67" s="347"/>
      <c r="AT67" s="92"/>
      <c r="AU67" s="94"/>
      <c r="AV67" s="95"/>
      <c r="AW67" s="95"/>
      <c r="AX67" s="95"/>
      <c r="AY67" s="94"/>
      <c r="AZ67" s="346"/>
      <c r="BA67" s="93"/>
      <c r="BB67" s="94"/>
      <c r="BC67" s="94"/>
      <c r="BD67" s="330"/>
      <c r="BE67" s="347"/>
      <c r="BF67" s="92"/>
      <c r="BG67" s="94"/>
      <c r="BH67" s="95"/>
      <c r="BI67" s="95"/>
      <c r="BJ67" s="95"/>
      <c r="BK67" s="94"/>
      <c r="BL67" s="346"/>
      <c r="BM67" s="93"/>
      <c r="BN67" s="94"/>
      <c r="BO67" s="94"/>
      <c r="BP67" s="330"/>
      <c r="BQ67" s="347"/>
      <c r="BR67" s="92"/>
      <c r="BS67" s="94"/>
      <c r="BT67" s="95"/>
      <c r="BU67" s="95"/>
      <c r="BV67" s="95"/>
      <c r="BW67" s="94"/>
      <c r="BX67" s="346"/>
      <c r="BY67" s="93"/>
      <c r="BZ67" s="94"/>
      <c r="CA67" s="94"/>
      <c r="CB67" s="330"/>
      <c r="CC67" s="347"/>
      <c r="CD67" s="92"/>
      <c r="CE67" s="94"/>
      <c r="CF67" s="95"/>
      <c r="CG67" s="95"/>
      <c r="CH67" s="95"/>
      <c r="CI67" s="94"/>
    </row>
    <row r="68" spans="1:87" x14ac:dyDescent="0.2">
      <c r="A68" s="8">
        <v>59</v>
      </c>
      <c r="B68" s="1125">
        <f>'Membership Record'!B69</f>
        <v>0</v>
      </c>
      <c r="C68" s="1125"/>
      <c r="D68" s="87">
        <f>'Membership Record'!G69+'Membership Record'!P69</f>
        <v>0</v>
      </c>
      <c r="E68" s="350">
        <f t="shared" si="7"/>
        <v>0</v>
      </c>
      <c r="F68" s="614">
        <f>'Membership Record'!H69+'Membership Record'!Q69</f>
        <v>0</v>
      </c>
      <c r="G68" s="615">
        <f t="shared" si="8"/>
        <v>0</v>
      </c>
      <c r="H68" s="614">
        <f>'Membership Record'!I69+'Membership Record'!R69</f>
        <v>0</v>
      </c>
      <c r="I68" s="616">
        <f t="shared" si="9"/>
        <v>0</v>
      </c>
      <c r="J68" s="614">
        <f>'Membership Record'!J69+'Membership Record'!S69</f>
        <v>0</v>
      </c>
      <c r="K68" s="618">
        <f t="shared" si="10"/>
        <v>0</v>
      </c>
      <c r="L68" s="618">
        <f>'Membership Record'!K69+'Membership Record'!T69</f>
        <v>0</v>
      </c>
      <c r="M68" s="615">
        <f t="shared" si="11"/>
        <v>0</v>
      </c>
      <c r="N68" s="614">
        <f>'Membership Record'!L69+'Membership Record'!U69</f>
        <v>0</v>
      </c>
      <c r="O68" s="619">
        <f t="shared" si="12"/>
        <v>0</v>
      </c>
      <c r="P68" s="346"/>
      <c r="Q68" s="93"/>
      <c r="R68" s="94"/>
      <c r="S68" s="94"/>
      <c r="T68" s="330"/>
      <c r="U68" s="347"/>
      <c r="V68" s="92"/>
      <c r="W68" s="94"/>
      <c r="X68" s="95"/>
      <c r="Y68" s="95"/>
      <c r="Z68" s="95"/>
      <c r="AA68" s="94"/>
      <c r="AB68" s="346"/>
      <c r="AC68" s="93"/>
      <c r="AD68" s="94"/>
      <c r="AE68" s="94"/>
      <c r="AF68" s="330"/>
      <c r="AG68" s="347"/>
      <c r="AH68" s="92"/>
      <c r="AI68" s="94"/>
      <c r="AJ68" s="95"/>
      <c r="AK68" s="95"/>
      <c r="AL68" s="95"/>
      <c r="AM68" s="94"/>
      <c r="AN68" s="346"/>
      <c r="AO68" s="93"/>
      <c r="AP68" s="94"/>
      <c r="AQ68" s="94"/>
      <c r="AR68" s="330"/>
      <c r="AS68" s="347"/>
      <c r="AT68" s="92"/>
      <c r="AU68" s="94"/>
      <c r="AV68" s="95"/>
      <c r="AW68" s="95"/>
      <c r="AX68" s="95"/>
      <c r="AY68" s="94"/>
      <c r="AZ68" s="346"/>
      <c r="BA68" s="93"/>
      <c r="BB68" s="94"/>
      <c r="BC68" s="94"/>
      <c r="BD68" s="330"/>
      <c r="BE68" s="347"/>
      <c r="BF68" s="92"/>
      <c r="BG68" s="94"/>
      <c r="BH68" s="95"/>
      <c r="BI68" s="95"/>
      <c r="BJ68" s="95"/>
      <c r="BK68" s="94"/>
      <c r="BL68" s="346"/>
      <c r="BM68" s="93"/>
      <c r="BN68" s="94"/>
      <c r="BO68" s="94"/>
      <c r="BP68" s="330"/>
      <c r="BQ68" s="347"/>
      <c r="BR68" s="92"/>
      <c r="BS68" s="94"/>
      <c r="BT68" s="95"/>
      <c r="BU68" s="95"/>
      <c r="BV68" s="95"/>
      <c r="BW68" s="94"/>
      <c r="BX68" s="346"/>
      <c r="BY68" s="93"/>
      <c r="BZ68" s="94"/>
      <c r="CA68" s="94"/>
      <c r="CB68" s="330"/>
      <c r="CC68" s="347"/>
      <c r="CD68" s="92"/>
      <c r="CE68" s="94"/>
      <c r="CF68" s="95"/>
      <c r="CG68" s="95"/>
      <c r="CH68" s="95"/>
      <c r="CI68" s="94"/>
    </row>
    <row r="69" spans="1:87" x14ac:dyDescent="0.2">
      <c r="A69" s="8">
        <v>60</v>
      </c>
      <c r="B69" s="1125">
        <f>'Membership Record'!B70</f>
        <v>0</v>
      </c>
      <c r="C69" s="1125"/>
      <c r="D69" s="87">
        <f>'Membership Record'!G70+'Membership Record'!P70</f>
        <v>0</v>
      </c>
      <c r="E69" s="350">
        <f t="shared" si="7"/>
        <v>0</v>
      </c>
      <c r="F69" s="614">
        <f>'Membership Record'!H70+'Membership Record'!Q70</f>
        <v>0</v>
      </c>
      <c r="G69" s="615">
        <f t="shared" si="8"/>
        <v>0</v>
      </c>
      <c r="H69" s="614">
        <f>'Membership Record'!I70+'Membership Record'!R70</f>
        <v>0</v>
      </c>
      <c r="I69" s="616">
        <f t="shared" si="9"/>
        <v>0</v>
      </c>
      <c r="J69" s="614">
        <f>'Membership Record'!J70+'Membership Record'!S70</f>
        <v>0</v>
      </c>
      <c r="K69" s="618">
        <f t="shared" si="10"/>
        <v>0</v>
      </c>
      <c r="L69" s="618">
        <f>'Membership Record'!K70+'Membership Record'!T70</f>
        <v>0</v>
      </c>
      <c r="M69" s="615">
        <f t="shared" si="11"/>
        <v>0</v>
      </c>
      <c r="N69" s="614">
        <f>'Membership Record'!L70+'Membership Record'!U70</f>
        <v>0</v>
      </c>
      <c r="O69" s="619">
        <f t="shared" si="12"/>
        <v>0</v>
      </c>
      <c r="P69" s="346"/>
      <c r="Q69" s="93"/>
      <c r="R69" s="94"/>
      <c r="S69" s="94"/>
      <c r="T69" s="330"/>
      <c r="U69" s="347"/>
      <c r="V69" s="92"/>
      <c r="W69" s="94"/>
      <c r="X69" s="95"/>
      <c r="Y69" s="95"/>
      <c r="Z69" s="95"/>
      <c r="AA69" s="94"/>
      <c r="AB69" s="346"/>
      <c r="AC69" s="93"/>
      <c r="AD69" s="94"/>
      <c r="AE69" s="94"/>
      <c r="AF69" s="330"/>
      <c r="AG69" s="347"/>
      <c r="AH69" s="92"/>
      <c r="AI69" s="94"/>
      <c r="AJ69" s="95"/>
      <c r="AK69" s="95"/>
      <c r="AL69" s="95"/>
      <c r="AM69" s="94"/>
      <c r="AN69" s="346"/>
      <c r="AO69" s="93"/>
      <c r="AP69" s="94"/>
      <c r="AQ69" s="94"/>
      <c r="AR69" s="330"/>
      <c r="AS69" s="347"/>
      <c r="AT69" s="92"/>
      <c r="AU69" s="94"/>
      <c r="AV69" s="95"/>
      <c r="AW69" s="95"/>
      <c r="AX69" s="95"/>
      <c r="AY69" s="94"/>
      <c r="AZ69" s="346"/>
      <c r="BA69" s="93"/>
      <c r="BB69" s="94"/>
      <c r="BC69" s="94"/>
      <c r="BD69" s="330"/>
      <c r="BE69" s="347"/>
      <c r="BF69" s="92"/>
      <c r="BG69" s="94"/>
      <c r="BH69" s="95"/>
      <c r="BI69" s="95"/>
      <c r="BJ69" s="95"/>
      <c r="BK69" s="94"/>
      <c r="BL69" s="346"/>
      <c r="BM69" s="93"/>
      <c r="BN69" s="94"/>
      <c r="BO69" s="94"/>
      <c r="BP69" s="330"/>
      <c r="BQ69" s="347"/>
      <c r="BR69" s="92"/>
      <c r="BS69" s="94"/>
      <c r="BT69" s="95"/>
      <c r="BU69" s="95"/>
      <c r="BV69" s="95"/>
      <c r="BW69" s="94"/>
      <c r="BX69" s="346"/>
      <c r="BY69" s="93"/>
      <c r="BZ69" s="94"/>
      <c r="CA69" s="94"/>
      <c r="CB69" s="330"/>
      <c r="CC69" s="347"/>
      <c r="CD69" s="92"/>
      <c r="CE69" s="94"/>
      <c r="CF69" s="95"/>
      <c r="CG69" s="95"/>
      <c r="CH69" s="95"/>
      <c r="CI69" s="94"/>
    </row>
    <row r="70" spans="1:87" x14ac:dyDescent="0.2">
      <c r="A70" s="8">
        <v>61</v>
      </c>
      <c r="B70" s="1125">
        <f>'Membership Record'!B71</f>
        <v>0</v>
      </c>
      <c r="C70" s="1125"/>
      <c r="D70" s="87">
        <f>'Membership Record'!G71+'Membership Record'!P71</f>
        <v>0</v>
      </c>
      <c r="E70" s="350">
        <f t="shared" si="7"/>
        <v>0</v>
      </c>
      <c r="F70" s="614">
        <f>'Membership Record'!H71+'Membership Record'!Q71</f>
        <v>0</v>
      </c>
      <c r="G70" s="615">
        <f t="shared" si="8"/>
        <v>0</v>
      </c>
      <c r="H70" s="614">
        <f>'Membership Record'!I71+'Membership Record'!R71</f>
        <v>0</v>
      </c>
      <c r="I70" s="616">
        <f t="shared" si="9"/>
        <v>0</v>
      </c>
      <c r="J70" s="614">
        <f>'Membership Record'!J71+'Membership Record'!S71</f>
        <v>0</v>
      </c>
      <c r="K70" s="618">
        <f t="shared" si="10"/>
        <v>0</v>
      </c>
      <c r="L70" s="618">
        <f>'Membership Record'!K71+'Membership Record'!T71</f>
        <v>0</v>
      </c>
      <c r="M70" s="615">
        <f t="shared" si="11"/>
        <v>0</v>
      </c>
      <c r="N70" s="614">
        <f>'Membership Record'!L71+'Membership Record'!U71</f>
        <v>0</v>
      </c>
      <c r="O70" s="619">
        <f t="shared" si="12"/>
        <v>0</v>
      </c>
      <c r="P70" s="346"/>
      <c r="Q70" s="93"/>
      <c r="R70" s="94"/>
      <c r="S70" s="94"/>
      <c r="T70" s="330"/>
      <c r="U70" s="347"/>
      <c r="V70" s="92"/>
      <c r="W70" s="94"/>
      <c r="X70" s="95"/>
      <c r="Y70" s="95"/>
      <c r="Z70" s="95"/>
      <c r="AA70" s="94"/>
      <c r="AB70" s="346"/>
      <c r="AC70" s="93"/>
      <c r="AD70" s="94"/>
      <c r="AE70" s="94"/>
      <c r="AF70" s="330"/>
      <c r="AG70" s="347"/>
      <c r="AH70" s="92"/>
      <c r="AI70" s="94"/>
      <c r="AJ70" s="95"/>
      <c r="AK70" s="95"/>
      <c r="AL70" s="95"/>
      <c r="AM70" s="94"/>
      <c r="AN70" s="346"/>
      <c r="AO70" s="93"/>
      <c r="AP70" s="94"/>
      <c r="AQ70" s="94"/>
      <c r="AR70" s="330"/>
      <c r="AS70" s="347"/>
      <c r="AT70" s="92"/>
      <c r="AU70" s="94"/>
      <c r="AV70" s="95"/>
      <c r="AW70" s="95"/>
      <c r="AX70" s="95"/>
      <c r="AY70" s="94"/>
      <c r="AZ70" s="346"/>
      <c r="BA70" s="93"/>
      <c r="BB70" s="94"/>
      <c r="BC70" s="94"/>
      <c r="BD70" s="330"/>
      <c r="BE70" s="347"/>
      <c r="BF70" s="92"/>
      <c r="BG70" s="94"/>
      <c r="BH70" s="95"/>
      <c r="BI70" s="95"/>
      <c r="BJ70" s="95"/>
      <c r="BK70" s="94"/>
      <c r="BL70" s="346"/>
      <c r="BM70" s="93"/>
      <c r="BN70" s="94"/>
      <c r="BO70" s="94"/>
      <c r="BP70" s="330"/>
      <c r="BQ70" s="347"/>
      <c r="BR70" s="92"/>
      <c r="BS70" s="94"/>
      <c r="BT70" s="95"/>
      <c r="BU70" s="95"/>
      <c r="BV70" s="95"/>
      <c r="BW70" s="94"/>
      <c r="BX70" s="346"/>
      <c r="BY70" s="93"/>
      <c r="BZ70" s="94"/>
      <c r="CA70" s="94"/>
      <c r="CB70" s="330"/>
      <c r="CC70" s="347"/>
      <c r="CD70" s="92"/>
      <c r="CE70" s="94"/>
      <c r="CF70" s="95"/>
      <c r="CG70" s="95"/>
      <c r="CH70" s="95"/>
      <c r="CI70" s="94"/>
    </row>
    <row r="71" spans="1:87" x14ac:dyDescent="0.2">
      <c r="A71" s="8">
        <v>62</v>
      </c>
      <c r="B71" s="1125">
        <f>'Membership Record'!B72</f>
        <v>0</v>
      </c>
      <c r="C71" s="1125"/>
      <c r="D71" s="87">
        <f>'Membership Record'!G72+'Membership Record'!P72</f>
        <v>0</v>
      </c>
      <c r="E71" s="350">
        <f t="shared" si="7"/>
        <v>0</v>
      </c>
      <c r="F71" s="614">
        <f>'Membership Record'!H72+'Membership Record'!Q72</f>
        <v>0</v>
      </c>
      <c r="G71" s="615">
        <f t="shared" si="8"/>
        <v>0</v>
      </c>
      <c r="H71" s="614">
        <f>'Membership Record'!I72+'Membership Record'!R72</f>
        <v>0</v>
      </c>
      <c r="I71" s="616">
        <f t="shared" si="9"/>
        <v>0</v>
      </c>
      <c r="J71" s="614">
        <f>'Membership Record'!J72+'Membership Record'!S72</f>
        <v>0</v>
      </c>
      <c r="K71" s="618">
        <f t="shared" si="10"/>
        <v>0</v>
      </c>
      <c r="L71" s="618">
        <f>'Membership Record'!K72+'Membership Record'!T72</f>
        <v>0</v>
      </c>
      <c r="M71" s="615">
        <f t="shared" si="11"/>
        <v>0</v>
      </c>
      <c r="N71" s="614">
        <f>'Membership Record'!L72+'Membership Record'!U72</f>
        <v>0</v>
      </c>
      <c r="O71" s="619">
        <f t="shared" si="12"/>
        <v>0</v>
      </c>
      <c r="P71" s="346"/>
      <c r="Q71" s="93"/>
      <c r="R71" s="94"/>
      <c r="S71" s="94"/>
      <c r="T71" s="330"/>
      <c r="U71" s="347"/>
      <c r="V71" s="92"/>
      <c r="W71" s="94"/>
      <c r="X71" s="95"/>
      <c r="Y71" s="95"/>
      <c r="Z71" s="95"/>
      <c r="AA71" s="94"/>
      <c r="AB71" s="346"/>
      <c r="AC71" s="93"/>
      <c r="AD71" s="94"/>
      <c r="AE71" s="94"/>
      <c r="AF71" s="330"/>
      <c r="AG71" s="347"/>
      <c r="AH71" s="92"/>
      <c r="AI71" s="94"/>
      <c r="AJ71" s="95"/>
      <c r="AK71" s="95"/>
      <c r="AL71" s="95"/>
      <c r="AM71" s="94"/>
      <c r="AN71" s="346"/>
      <c r="AO71" s="93"/>
      <c r="AP71" s="94"/>
      <c r="AQ71" s="94"/>
      <c r="AR71" s="330"/>
      <c r="AS71" s="347"/>
      <c r="AT71" s="92"/>
      <c r="AU71" s="94"/>
      <c r="AV71" s="95"/>
      <c r="AW71" s="95"/>
      <c r="AX71" s="95"/>
      <c r="AY71" s="94"/>
      <c r="AZ71" s="346"/>
      <c r="BA71" s="93"/>
      <c r="BB71" s="94"/>
      <c r="BC71" s="94"/>
      <c r="BD71" s="330"/>
      <c r="BE71" s="347"/>
      <c r="BF71" s="92"/>
      <c r="BG71" s="94"/>
      <c r="BH71" s="95"/>
      <c r="BI71" s="95"/>
      <c r="BJ71" s="95"/>
      <c r="BK71" s="94"/>
      <c r="BL71" s="346"/>
      <c r="BM71" s="93"/>
      <c r="BN71" s="94"/>
      <c r="BO71" s="94"/>
      <c r="BP71" s="330"/>
      <c r="BQ71" s="347"/>
      <c r="BR71" s="92"/>
      <c r="BS71" s="94"/>
      <c r="BT71" s="95"/>
      <c r="BU71" s="95"/>
      <c r="BV71" s="95"/>
      <c r="BW71" s="94"/>
      <c r="BX71" s="346"/>
      <c r="BY71" s="93"/>
      <c r="BZ71" s="94"/>
      <c r="CA71" s="94"/>
      <c r="CB71" s="330"/>
      <c r="CC71" s="347"/>
      <c r="CD71" s="92"/>
      <c r="CE71" s="94"/>
      <c r="CF71" s="95"/>
      <c r="CG71" s="95"/>
      <c r="CH71" s="95"/>
      <c r="CI71" s="94"/>
    </row>
    <row r="72" spans="1:87" x14ac:dyDescent="0.2">
      <c r="A72" s="8">
        <v>63</v>
      </c>
      <c r="B72" s="1125">
        <f>'Membership Record'!B73</f>
        <v>0</v>
      </c>
      <c r="C72" s="1125"/>
      <c r="D72" s="87">
        <f>'Membership Record'!G73+'Membership Record'!P73</f>
        <v>0</v>
      </c>
      <c r="E72" s="350">
        <f t="shared" si="7"/>
        <v>0</v>
      </c>
      <c r="F72" s="614">
        <f>'Membership Record'!H73+'Membership Record'!Q73</f>
        <v>0</v>
      </c>
      <c r="G72" s="615">
        <f t="shared" si="8"/>
        <v>0</v>
      </c>
      <c r="H72" s="614">
        <f>'Membership Record'!I73+'Membership Record'!R73</f>
        <v>0</v>
      </c>
      <c r="I72" s="616">
        <f t="shared" si="9"/>
        <v>0</v>
      </c>
      <c r="J72" s="614">
        <f>'Membership Record'!J73+'Membership Record'!S73</f>
        <v>0</v>
      </c>
      <c r="K72" s="618">
        <f t="shared" si="10"/>
        <v>0</v>
      </c>
      <c r="L72" s="618">
        <f>'Membership Record'!K73+'Membership Record'!T73</f>
        <v>0</v>
      </c>
      <c r="M72" s="615">
        <f t="shared" si="11"/>
        <v>0</v>
      </c>
      <c r="N72" s="614">
        <f>'Membership Record'!L73+'Membership Record'!U73</f>
        <v>0</v>
      </c>
      <c r="O72" s="619">
        <f t="shared" si="12"/>
        <v>0</v>
      </c>
      <c r="P72" s="346"/>
      <c r="Q72" s="93"/>
      <c r="R72" s="94"/>
      <c r="S72" s="94"/>
      <c r="T72" s="330"/>
      <c r="U72" s="347"/>
      <c r="V72" s="92"/>
      <c r="W72" s="94"/>
      <c r="X72" s="95"/>
      <c r="Y72" s="95"/>
      <c r="Z72" s="95"/>
      <c r="AA72" s="94"/>
      <c r="AB72" s="346"/>
      <c r="AC72" s="93"/>
      <c r="AD72" s="94"/>
      <c r="AE72" s="94"/>
      <c r="AF72" s="330"/>
      <c r="AG72" s="347"/>
      <c r="AH72" s="92"/>
      <c r="AI72" s="94"/>
      <c r="AJ72" s="95"/>
      <c r="AK72" s="95"/>
      <c r="AL72" s="95"/>
      <c r="AM72" s="94"/>
      <c r="AN72" s="346"/>
      <c r="AO72" s="93"/>
      <c r="AP72" s="94"/>
      <c r="AQ72" s="94"/>
      <c r="AR72" s="330"/>
      <c r="AS72" s="347"/>
      <c r="AT72" s="92"/>
      <c r="AU72" s="94"/>
      <c r="AV72" s="95"/>
      <c r="AW72" s="95"/>
      <c r="AX72" s="95"/>
      <c r="AY72" s="94"/>
      <c r="AZ72" s="346"/>
      <c r="BA72" s="93"/>
      <c r="BB72" s="94"/>
      <c r="BC72" s="94"/>
      <c r="BD72" s="330"/>
      <c r="BE72" s="347"/>
      <c r="BF72" s="92"/>
      <c r="BG72" s="94"/>
      <c r="BH72" s="95"/>
      <c r="BI72" s="95"/>
      <c r="BJ72" s="95"/>
      <c r="BK72" s="94"/>
      <c r="BL72" s="346"/>
      <c r="BM72" s="93"/>
      <c r="BN72" s="94"/>
      <c r="BO72" s="94"/>
      <c r="BP72" s="330"/>
      <c r="BQ72" s="347"/>
      <c r="BR72" s="92"/>
      <c r="BS72" s="94"/>
      <c r="BT72" s="95"/>
      <c r="BU72" s="95"/>
      <c r="BV72" s="95"/>
      <c r="BW72" s="94"/>
      <c r="BX72" s="346"/>
      <c r="BY72" s="93"/>
      <c r="BZ72" s="94"/>
      <c r="CA72" s="94"/>
      <c r="CB72" s="330"/>
      <c r="CC72" s="347"/>
      <c r="CD72" s="92"/>
      <c r="CE72" s="94"/>
      <c r="CF72" s="95"/>
      <c r="CG72" s="95"/>
      <c r="CH72" s="95"/>
      <c r="CI72" s="94"/>
    </row>
    <row r="73" spans="1:87" x14ac:dyDescent="0.2">
      <c r="A73" s="8">
        <v>64</v>
      </c>
      <c r="B73" s="1125">
        <f>'Membership Record'!B74</f>
        <v>0</v>
      </c>
      <c r="C73" s="1125"/>
      <c r="D73" s="87">
        <f>'Membership Record'!G74+'Membership Record'!P74</f>
        <v>0</v>
      </c>
      <c r="E73" s="350">
        <f t="shared" si="7"/>
        <v>0</v>
      </c>
      <c r="F73" s="614">
        <f>'Membership Record'!H74+'Membership Record'!Q74</f>
        <v>0</v>
      </c>
      <c r="G73" s="615">
        <f t="shared" si="8"/>
        <v>0</v>
      </c>
      <c r="H73" s="614">
        <f>'Membership Record'!I74+'Membership Record'!R74</f>
        <v>0</v>
      </c>
      <c r="I73" s="616">
        <f t="shared" si="9"/>
        <v>0</v>
      </c>
      <c r="J73" s="614">
        <f>'Membership Record'!J74+'Membership Record'!S74</f>
        <v>0</v>
      </c>
      <c r="K73" s="618">
        <f t="shared" si="10"/>
        <v>0</v>
      </c>
      <c r="L73" s="618">
        <f>'Membership Record'!K74+'Membership Record'!T74</f>
        <v>0</v>
      </c>
      <c r="M73" s="615">
        <f t="shared" si="11"/>
        <v>0</v>
      </c>
      <c r="N73" s="614">
        <f>'Membership Record'!L74+'Membership Record'!U74</f>
        <v>0</v>
      </c>
      <c r="O73" s="619">
        <f t="shared" si="12"/>
        <v>0</v>
      </c>
      <c r="P73" s="346"/>
      <c r="Q73" s="93"/>
      <c r="R73" s="94"/>
      <c r="S73" s="94"/>
      <c r="T73" s="330"/>
      <c r="U73" s="347"/>
      <c r="V73" s="92"/>
      <c r="W73" s="94"/>
      <c r="X73" s="95"/>
      <c r="Y73" s="95"/>
      <c r="Z73" s="95"/>
      <c r="AA73" s="94"/>
      <c r="AB73" s="346"/>
      <c r="AC73" s="93"/>
      <c r="AD73" s="94"/>
      <c r="AE73" s="94"/>
      <c r="AF73" s="330"/>
      <c r="AG73" s="347"/>
      <c r="AH73" s="92"/>
      <c r="AI73" s="94"/>
      <c r="AJ73" s="95"/>
      <c r="AK73" s="95"/>
      <c r="AL73" s="95"/>
      <c r="AM73" s="94"/>
      <c r="AN73" s="346"/>
      <c r="AO73" s="93"/>
      <c r="AP73" s="94"/>
      <c r="AQ73" s="94"/>
      <c r="AR73" s="330"/>
      <c r="AS73" s="347"/>
      <c r="AT73" s="92"/>
      <c r="AU73" s="94"/>
      <c r="AV73" s="95"/>
      <c r="AW73" s="95"/>
      <c r="AX73" s="95"/>
      <c r="AY73" s="94"/>
      <c r="AZ73" s="346"/>
      <c r="BA73" s="93"/>
      <c r="BB73" s="94"/>
      <c r="BC73" s="94"/>
      <c r="BD73" s="330"/>
      <c r="BE73" s="347"/>
      <c r="BF73" s="92"/>
      <c r="BG73" s="94"/>
      <c r="BH73" s="95"/>
      <c r="BI73" s="95"/>
      <c r="BJ73" s="95"/>
      <c r="BK73" s="94"/>
      <c r="BL73" s="346"/>
      <c r="BM73" s="93"/>
      <c r="BN73" s="94"/>
      <c r="BO73" s="94"/>
      <c r="BP73" s="330"/>
      <c r="BQ73" s="347"/>
      <c r="BR73" s="92"/>
      <c r="BS73" s="94"/>
      <c r="BT73" s="95"/>
      <c r="BU73" s="95"/>
      <c r="BV73" s="95"/>
      <c r="BW73" s="94"/>
      <c r="BX73" s="346"/>
      <c r="BY73" s="93"/>
      <c r="BZ73" s="94"/>
      <c r="CA73" s="94"/>
      <c r="CB73" s="330"/>
      <c r="CC73" s="347"/>
      <c r="CD73" s="92"/>
      <c r="CE73" s="94"/>
      <c r="CF73" s="95"/>
      <c r="CG73" s="95"/>
      <c r="CH73" s="95"/>
      <c r="CI73" s="94"/>
    </row>
    <row r="74" spans="1:87" x14ac:dyDescent="0.2">
      <c r="A74" s="8">
        <v>65</v>
      </c>
      <c r="B74" s="1125">
        <f>'Membership Record'!B75</f>
        <v>0</v>
      </c>
      <c r="C74" s="1125"/>
      <c r="D74" s="87">
        <f>'Membership Record'!G75+'Membership Record'!P75</f>
        <v>0</v>
      </c>
      <c r="E74" s="350">
        <f t="shared" si="7"/>
        <v>0</v>
      </c>
      <c r="F74" s="614">
        <f>'Membership Record'!H75+'Membership Record'!Q75</f>
        <v>0</v>
      </c>
      <c r="G74" s="615">
        <f t="shared" si="8"/>
        <v>0</v>
      </c>
      <c r="H74" s="614">
        <f>'Membership Record'!I75+'Membership Record'!R75</f>
        <v>0</v>
      </c>
      <c r="I74" s="616">
        <f t="shared" si="9"/>
        <v>0</v>
      </c>
      <c r="J74" s="614">
        <f>'Membership Record'!J75+'Membership Record'!S75</f>
        <v>0</v>
      </c>
      <c r="K74" s="618">
        <f t="shared" si="10"/>
        <v>0</v>
      </c>
      <c r="L74" s="618">
        <f>'Membership Record'!K75+'Membership Record'!T75</f>
        <v>0</v>
      </c>
      <c r="M74" s="615">
        <f t="shared" si="11"/>
        <v>0</v>
      </c>
      <c r="N74" s="614">
        <f>'Membership Record'!L75+'Membership Record'!U75</f>
        <v>0</v>
      </c>
      <c r="O74" s="619">
        <f t="shared" si="12"/>
        <v>0</v>
      </c>
      <c r="P74" s="346"/>
      <c r="Q74" s="93"/>
      <c r="R74" s="94"/>
      <c r="S74" s="94"/>
      <c r="T74" s="330"/>
      <c r="U74" s="347"/>
      <c r="V74" s="92"/>
      <c r="W74" s="94"/>
      <c r="X74" s="95"/>
      <c r="Y74" s="95"/>
      <c r="Z74" s="95"/>
      <c r="AA74" s="94"/>
      <c r="AB74" s="346"/>
      <c r="AC74" s="93"/>
      <c r="AD74" s="94"/>
      <c r="AE74" s="94"/>
      <c r="AF74" s="330"/>
      <c r="AG74" s="347"/>
      <c r="AH74" s="92"/>
      <c r="AI74" s="94"/>
      <c r="AJ74" s="95"/>
      <c r="AK74" s="95"/>
      <c r="AL74" s="95"/>
      <c r="AM74" s="94"/>
      <c r="AN74" s="346"/>
      <c r="AO74" s="93"/>
      <c r="AP74" s="94"/>
      <c r="AQ74" s="94"/>
      <c r="AR74" s="330"/>
      <c r="AS74" s="347"/>
      <c r="AT74" s="92"/>
      <c r="AU74" s="94"/>
      <c r="AV74" s="95"/>
      <c r="AW74" s="95"/>
      <c r="AX74" s="95"/>
      <c r="AY74" s="94"/>
      <c r="AZ74" s="346"/>
      <c r="BA74" s="93"/>
      <c r="BB74" s="94"/>
      <c r="BC74" s="94"/>
      <c r="BD74" s="330"/>
      <c r="BE74" s="347"/>
      <c r="BF74" s="92"/>
      <c r="BG74" s="94"/>
      <c r="BH74" s="95"/>
      <c r="BI74" s="95"/>
      <c r="BJ74" s="95"/>
      <c r="BK74" s="94"/>
      <c r="BL74" s="346"/>
      <c r="BM74" s="93"/>
      <c r="BN74" s="94"/>
      <c r="BO74" s="94"/>
      <c r="BP74" s="330"/>
      <c r="BQ74" s="347"/>
      <c r="BR74" s="92"/>
      <c r="BS74" s="94"/>
      <c r="BT74" s="95"/>
      <c r="BU74" s="95"/>
      <c r="BV74" s="95"/>
      <c r="BW74" s="94"/>
      <c r="BX74" s="346"/>
      <c r="BY74" s="93"/>
      <c r="BZ74" s="94"/>
      <c r="CA74" s="94"/>
      <c r="CB74" s="330"/>
      <c r="CC74" s="347"/>
      <c r="CD74" s="92"/>
      <c r="CE74" s="94"/>
      <c r="CF74" s="95"/>
      <c r="CG74" s="95"/>
      <c r="CH74" s="95"/>
      <c r="CI74" s="94"/>
    </row>
    <row r="75" spans="1:87" x14ac:dyDescent="0.2">
      <c r="A75" s="8">
        <v>66</v>
      </c>
      <c r="B75" s="1125">
        <f>'Membership Record'!B76</f>
        <v>0</v>
      </c>
      <c r="C75" s="1125"/>
      <c r="D75" s="87">
        <f>'Membership Record'!G76+'Membership Record'!P76</f>
        <v>0</v>
      </c>
      <c r="E75" s="350">
        <f t="shared" ref="E75:E138" si="13">P75+V75+AB75+AH75+AN75+AT75+AZ75+BF75+BL75+BR75+BX75+CD75</f>
        <v>0</v>
      </c>
      <c r="F75" s="614">
        <f>'Membership Record'!H76+'Membership Record'!Q76</f>
        <v>0</v>
      </c>
      <c r="G75" s="615">
        <f t="shared" ref="G75:G138" si="14">R75+X75+AD75+AJ75+AP75+AV75+BB75+BH75+BN75+BT75+BZ75+CF75</f>
        <v>0</v>
      </c>
      <c r="H75" s="614">
        <f>'Membership Record'!I76+'Membership Record'!R76</f>
        <v>0</v>
      </c>
      <c r="I75" s="616">
        <f t="shared" ref="I75:I138" si="15">Q75+W75+AC75+AI75+AO75+AU75+BA75+BG75+BM75+BS75+BY75+CE75</f>
        <v>0</v>
      </c>
      <c r="J75" s="614">
        <f>'Membership Record'!J76+'Membership Record'!S76</f>
        <v>0</v>
      </c>
      <c r="K75" s="618">
        <f t="shared" ref="K75:K138" si="16">S75+Y75+AE75+AK75+AQ75+AW75+BC75+BI75+BO75+BU75+CA75+CG75</f>
        <v>0</v>
      </c>
      <c r="L75" s="618">
        <f>'Membership Record'!K76+'Membership Record'!T76</f>
        <v>0</v>
      </c>
      <c r="M75" s="615">
        <f t="shared" ref="M75:M138" si="17">T75+Z75+AF75+AL75+AR75+AX75+BD75+BJ75+BP75+BV75+CB75+CH75</f>
        <v>0</v>
      </c>
      <c r="N75" s="614">
        <f>'Membership Record'!L76+'Membership Record'!U76</f>
        <v>0</v>
      </c>
      <c r="O75" s="619">
        <f t="shared" ref="O75:O138" si="18">U75+AA75+AG75+AM75+AS75+AY75+BE75+BK75+BQ75+BW75+CC75+CI75</f>
        <v>0</v>
      </c>
      <c r="P75" s="346"/>
      <c r="Q75" s="93"/>
      <c r="R75" s="94"/>
      <c r="S75" s="94"/>
      <c r="T75" s="330"/>
      <c r="U75" s="347"/>
      <c r="V75" s="92"/>
      <c r="W75" s="94"/>
      <c r="X75" s="95"/>
      <c r="Y75" s="95"/>
      <c r="Z75" s="95"/>
      <c r="AA75" s="94"/>
      <c r="AB75" s="346"/>
      <c r="AC75" s="93"/>
      <c r="AD75" s="94"/>
      <c r="AE75" s="94"/>
      <c r="AF75" s="330"/>
      <c r="AG75" s="347"/>
      <c r="AH75" s="92"/>
      <c r="AI75" s="94"/>
      <c r="AJ75" s="95"/>
      <c r="AK75" s="95"/>
      <c r="AL75" s="95"/>
      <c r="AM75" s="94"/>
      <c r="AN75" s="346"/>
      <c r="AO75" s="93"/>
      <c r="AP75" s="94"/>
      <c r="AQ75" s="94"/>
      <c r="AR75" s="330"/>
      <c r="AS75" s="347"/>
      <c r="AT75" s="92"/>
      <c r="AU75" s="94"/>
      <c r="AV75" s="95"/>
      <c r="AW75" s="95"/>
      <c r="AX75" s="95"/>
      <c r="AY75" s="94"/>
      <c r="AZ75" s="346"/>
      <c r="BA75" s="93"/>
      <c r="BB75" s="94"/>
      <c r="BC75" s="94"/>
      <c r="BD75" s="330"/>
      <c r="BE75" s="347"/>
      <c r="BF75" s="92"/>
      <c r="BG75" s="94"/>
      <c r="BH75" s="95"/>
      <c r="BI75" s="95"/>
      <c r="BJ75" s="95"/>
      <c r="BK75" s="94"/>
      <c r="BL75" s="346"/>
      <c r="BM75" s="93"/>
      <c r="BN75" s="94"/>
      <c r="BO75" s="94"/>
      <c r="BP75" s="330"/>
      <c r="BQ75" s="347"/>
      <c r="BR75" s="92"/>
      <c r="BS75" s="94"/>
      <c r="BT75" s="95"/>
      <c r="BU75" s="95"/>
      <c r="BV75" s="95"/>
      <c r="BW75" s="94"/>
      <c r="BX75" s="346"/>
      <c r="BY75" s="93"/>
      <c r="BZ75" s="94"/>
      <c r="CA75" s="94"/>
      <c r="CB75" s="330"/>
      <c r="CC75" s="347"/>
      <c r="CD75" s="92"/>
      <c r="CE75" s="94"/>
      <c r="CF75" s="95"/>
      <c r="CG75" s="95"/>
      <c r="CH75" s="95"/>
      <c r="CI75" s="94"/>
    </row>
    <row r="76" spans="1:87" x14ac:dyDescent="0.2">
      <c r="A76" s="8">
        <v>67</v>
      </c>
      <c r="B76" s="1125">
        <f>'Membership Record'!B77</f>
        <v>0</v>
      </c>
      <c r="C76" s="1125"/>
      <c r="D76" s="87">
        <f>'Membership Record'!G77+'Membership Record'!P77</f>
        <v>0</v>
      </c>
      <c r="E76" s="350">
        <f t="shared" si="13"/>
        <v>0</v>
      </c>
      <c r="F76" s="614">
        <f>'Membership Record'!H77+'Membership Record'!Q77</f>
        <v>0</v>
      </c>
      <c r="G76" s="615">
        <f t="shared" si="14"/>
        <v>0</v>
      </c>
      <c r="H76" s="614">
        <f>'Membership Record'!I77+'Membership Record'!R77</f>
        <v>0</v>
      </c>
      <c r="I76" s="616">
        <f t="shared" si="15"/>
        <v>0</v>
      </c>
      <c r="J76" s="614">
        <f>'Membership Record'!J77+'Membership Record'!S77</f>
        <v>0</v>
      </c>
      <c r="K76" s="618">
        <f t="shared" si="16"/>
        <v>0</v>
      </c>
      <c r="L76" s="618">
        <f>'Membership Record'!K77+'Membership Record'!T77</f>
        <v>0</v>
      </c>
      <c r="M76" s="615">
        <f t="shared" si="17"/>
        <v>0</v>
      </c>
      <c r="N76" s="614">
        <f>'Membership Record'!L77+'Membership Record'!U77</f>
        <v>0</v>
      </c>
      <c r="O76" s="619">
        <f t="shared" si="18"/>
        <v>0</v>
      </c>
      <c r="P76" s="346"/>
      <c r="Q76" s="93"/>
      <c r="R76" s="94"/>
      <c r="S76" s="94"/>
      <c r="T76" s="330"/>
      <c r="U76" s="347"/>
      <c r="V76" s="92"/>
      <c r="W76" s="94"/>
      <c r="X76" s="95"/>
      <c r="Y76" s="95"/>
      <c r="Z76" s="95"/>
      <c r="AA76" s="94"/>
      <c r="AB76" s="346"/>
      <c r="AC76" s="93"/>
      <c r="AD76" s="94"/>
      <c r="AE76" s="94"/>
      <c r="AF76" s="330"/>
      <c r="AG76" s="347"/>
      <c r="AH76" s="92"/>
      <c r="AI76" s="94"/>
      <c r="AJ76" s="95"/>
      <c r="AK76" s="95"/>
      <c r="AL76" s="95"/>
      <c r="AM76" s="94"/>
      <c r="AN76" s="346"/>
      <c r="AO76" s="93"/>
      <c r="AP76" s="94"/>
      <c r="AQ76" s="94"/>
      <c r="AR76" s="330"/>
      <c r="AS76" s="347"/>
      <c r="AT76" s="92"/>
      <c r="AU76" s="94"/>
      <c r="AV76" s="95"/>
      <c r="AW76" s="95"/>
      <c r="AX76" s="95"/>
      <c r="AY76" s="94"/>
      <c r="AZ76" s="346"/>
      <c r="BA76" s="93"/>
      <c r="BB76" s="94"/>
      <c r="BC76" s="94"/>
      <c r="BD76" s="330"/>
      <c r="BE76" s="347"/>
      <c r="BF76" s="92"/>
      <c r="BG76" s="94"/>
      <c r="BH76" s="95"/>
      <c r="BI76" s="95"/>
      <c r="BJ76" s="95"/>
      <c r="BK76" s="94"/>
      <c r="BL76" s="346"/>
      <c r="BM76" s="93"/>
      <c r="BN76" s="94"/>
      <c r="BO76" s="94"/>
      <c r="BP76" s="330"/>
      <c r="BQ76" s="347"/>
      <c r="BR76" s="92"/>
      <c r="BS76" s="94"/>
      <c r="BT76" s="95"/>
      <c r="BU76" s="95"/>
      <c r="BV76" s="95"/>
      <c r="BW76" s="94"/>
      <c r="BX76" s="346"/>
      <c r="BY76" s="93"/>
      <c r="BZ76" s="94"/>
      <c r="CA76" s="94"/>
      <c r="CB76" s="330"/>
      <c r="CC76" s="347"/>
      <c r="CD76" s="92"/>
      <c r="CE76" s="94"/>
      <c r="CF76" s="95"/>
      <c r="CG76" s="95"/>
      <c r="CH76" s="95"/>
      <c r="CI76" s="94"/>
    </row>
    <row r="77" spans="1:87" x14ac:dyDescent="0.2">
      <c r="A77" s="8">
        <v>68</v>
      </c>
      <c r="B77" s="1125">
        <f>'Membership Record'!B78</f>
        <v>0</v>
      </c>
      <c r="C77" s="1125"/>
      <c r="D77" s="87">
        <f>'Membership Record'!G78+'Membership Record'!P78</f>
        <v>0</v>
      </c>
      <c r="E77" s="350">
        <f t="shared" si="13"/>
        <v>0</v>
      </c>
      <c r="F77" s="614">
        <f>'Membership Record'!H78+'Membership Record'!Q78</f>
        <v>0</v>
      </c>
      <c r="G77" s="615">
        <f t="shared" si="14"/>
        <v>0</v>
      </c>
      <c r="H77" s="614">
        <f>'Membership Record'!I78+'Membership Record'!R78</f>
        <v>0</v>
      </c>
      <c r="I77" s="616">
        <f t="shared" si="15"/>
        <v>0</v>
      </c>
      <c r="J77" s="614">
        <f>'Membership Record'!J78+'Membership Record'!S78</f>
        <v>0</v>
      </c>
      <c r="K77" s="618">
        <f t="shared" si="16"/>
        <v>0</v>
      </c>
      <c r="L77" s="618">
        <f>'Membership Record'!K78+'Membership Record'!T78</f>
        <v>0</v>
      </c>
      <c r="M77" s="615">
        <f t="shared" si="17"/>
        <v>0</v>
      </c>
      <c r="N77" s="614">
        <f>'Membership Record'!L78+'Membership Record'!U78</f>
        <v>0</v>
      </c>
      <c r="O77" s="619">
        <f t="shared" si="18"/>
        <v>0</v>
      </c>
      <c r="P77" s="346"/>
      <c r="Q77" s="93"/>
      <c r="R77" s="94"/>
      <c r="S77" s="94"/>
      <c r="T77" s="330"/>
      <c r="U77" s="347"/>
      <c r="V77" s="92"/>
      <c r="W77" s="94"/>
      <c r="X77" s="95"/>
      <c r="Y77" s="95"/>
      <c r="Z77" s="95"/>
      <c r="AA77" s="94"/>
      <c r="AB77" s="346"/>
      <c r="AC77" s="93"/>
      <c r="AD77" s="94"/>
      <c r="AE77" s="94"/>
      <c r="AF77" s="330"/>
      <c r="AG77" s="347"/>
      <c r="AH77" s="92"/>
      <c r="AI77" s="94"/>
      <c r="AJ77" s="95"/>
      <c r="AK77" s="95"/>
      <c r="AL77" s="95"/>
      <c r="AM77" s="94"/>
      <c r="AN77" s="346"/>
      <c r="AO77" s="93"/>
      <c r="AP77" s="94"/>
      <c r="AQ77" s="94"/>
      <c r="AR77" s="330"/>
      <c r="AS77" s="347"/>
      <c r="AT77" s="92"/>
      <c r="AU77" s="94"/>
      <c r="AV77" s="95"/>
      <c r="AW77" s="95"/>
      <c r="AX77" s="95"/>
      <c r="AY77" s="94"/>
      <c r="AZ77" s="346"/>
      <c r="BA77" s="93"/>
      <c r="BB77" s="94"/>
      <c r="BC77" s="94"/>
      <c r="BD77" s="330"/>
      <c r="BE77" s="347"/>
      <c r="BF77" s="92"/>
      <c r="BG77" s="94"/>
      <c r="BH77" s="95"/>
      <c r="BI77" s="95"/>
      <c r="BJ77" s="95"/>
      <c r="BK77" s="94"/>
      <c r="BL77" s="346"/>
      <c r="BM77" s="93"/>
      <c r="BN77" s="94"/>
      <c r="BO77" s="94"/>
      <c r="BP77" s="330"/>
      <c r="BQ77" s="347"/>
      <c r="BR77" s="92"/>
      <c r="BS77" s="94"/>
      <c r="BT77" s="95"/>
      <c r="BU77" s="95"/>
      <c r="BV77" s="95"/>
      <c r="BW77" s="94"/>
      <c r="BX77" s="346"/>
      <c r="BY77" s="93"/>
      <c r="BZ77" s="94"/>
      <c r="CA77" s="94"/>
      <c r="CB77" s="330"/>
      <c r="CC77" s="347"/>
      <c r="CD77" s="92"/>
      <c r="CE77" s="94"/>
      <c r="CF77" s="95"/>
      <c r="CG77" s="95"/>
      <c r="CH77" s="95"/>
      <c r="CI77" s="94"/>
    </row>
    <row r="78" spans="1:87" x14ac:dyDescent="0.2">
      <c r="A78" s="8">
        <v>69</v>
      </c>
      <c r="B78" s="1125">
        <f>'Membership Record'!B79</f>
        <v>0</v>
      </c>
      <c r="C78" s="1125"/>
      <c r="D78" s="87">
        <f>'Membership Record'!G79+'Membership Record'!P79</f>
        <v>0</v>
      </c>
      <c r="E78" s="350">
        <f t="shared" si="13"/>
        <v>0</v>
      </c>
      <c r="F78" s="614">
        <f>'Membership Record'!H79+'Membership Record'!Q79</f>
        <v>0</v>
      </c>
      <c r="G78" s="615">
        <f t="shared" si="14"/>
        <v>0</v>
      </c>
      <c r="H78" s="614">
        <f>'Membership Record'!I79+'Membership Record'!R79</f>
        <v>0</v>
      </c>
      <c r="I78" s="616">
        <f t="shared" si="15"/>
        <v>0</v>
      </c>
      <c r="J78" s="614">
        <f>'Membership Record'!J79+'Membership Record'!S79</f>
        <v>0</v>
      </c>
      <c r="K78" s="618">
        <f t="shared" si="16"/>
        <v>0</v>
      </c>
      <c r="L78" s="618">
        <f>'Membership Record'!K79+'Membership Record'!T79</f>
        <v>0</v>
      </c>
      <c r="M78" s="615">
        <f t="shared" si="17"/>
        <v>0</v>
      </c>
      <c r="N78" s="614">
        <f>'Membership Record'!L79+'Membership Record'!U79</f>
        <v>0</v>
      </c>
      <c r="O78" s="619">
        <f t="shared" si="18"/>
        <v>0</v>
      </c>
      <c r="P78" s="346"/>
      <c r="Q78" s="93"/>
      <c r="R78" s="94"/>
      <c r="S78" s="94"/>
      <c r="T78" s="330"/>
      <c r="U78" s="347"/>
      <c r="V78" s="92"/>
      <c r="W78" s="94"/>
      <c r="X78" s="95"/>
      <c r="Y78" s="95"/>
      <c r="Z78" s="95"/>
      <c r="AA78" s="94"/>
      <c r="AB78" s="346"/>
      <c r="AC78" s="93"/>
      <c r="AD78" s="94"/>
      <c r="AE78" s="94"/>
      <c r="AF78" s="330"/>
      <c r="AG78" s="347"/>
      <c r="AH78" s="92"/>
      <c r="AI78" s="94"/>
      <c r="AJ78" s="95"/>
      <c r="AK78" s="95"/>
      <c r="AL78" s="95"/>
      <c r="AM78" s="94"/>
      <c r="AN78" s="346"/>
      <c r="AO78" s="93"/>
      <c r="AP78" s="94"/>
      <c r="AQ78" s="94"/>
      <c r="AR78" s="330"/>
      <c r="AS78" s="347"/>
      <c r="AT78" s="92"/>
      <c r="AU78" s="94"/>
      <c r="AV78" s="95"/>
      <c r="AW78" s="95"/>
      <c r="AX78" s="95"/>
      <c r="AY78" s="94"/>
      <c r="AZ78" s="346"/>
      <c r="BA78" s="93"/>
      <c r="BB78" s="94"/>
      <c r="BC78" s="94"/>
      <c r="BD78" s="330"/>
      <c r="BE78" s="347"/>
      <c r="BF78" s="92"/>
      <c r="BG78" s="94"/>
      <c r="BH78" s="95"/>
      <c r="BI78" s="95"/>
      <c r="BJ78" s="95"/>
      <c r="BK78" s="94"/>
      <c r="BL78" s="346"/>
      <c r="BM78" s="93"/>
      <c r="BN78" s="94"/>
      <c r="BO78" s="94"/>
      <c r="BP78" s="330"/>
      <c r="BQ78" s="347"/>
      <c r="BR78" s="92"/>
      <c r="BS78" s="94"/>
      <c r="BT78" s="95"/>
      <c r="BU78" s="95"/>
      <c r="BV78" s="95"/>
      <c r="BW78" s="94"/>
      <c r="BX78" s="346"/>
      <c r="BY78" s="93"/>
      <c r="BZ78" s="94"/>
      <c r="CA78" s="94"/>
      <c r="CB78" s="330"/>
      <c r="CC78" s="347"/>
      <c r="CD78" s="92"/>
      <c r="CE78" s="94"/>
      <c r="CF78" s="95"/>
      <c r="CG78" s="95"/>
      <c r="CH78" s="95"/>
      <c r="CI78" s="94"/>
    </row>
    <row r="79" spans="1:87" x14ac:dyDescent="0.2">
      <c r="A79" s="8">
        <v>70</v>
      </c>
      <c r="B79" s="1125">
        <f>'Membership Record'!B80</f>
        <v>0</v>
      </c>
      <c r="C79" s="1125"/>
      <c r="D79" s="87">
        <f>'Membership Record'!G80+'Membership Record'!P80</f>
        <v>0</v>
      </c>
      <c r="E79" s="350">
        <f t="shared" si="13"/>
        <v>0</v>
      </c>
      <c r="F79" s="614">
        <f>'Membership Record'!H80+'Membership Record'!Q80</f>
        <v>0</v>
      </c>
      <c r="G79" s="615">
        <f t="shared" si="14"/>
        <v>0</v>
      </c>
      <c r="H79" s="614">
        <f>'Membership Record'!I80+'Membership Record'!R80</f>
        <v>0</v>
      </c>
      <c r="I79" s="616">
        <f t="shared" si="15"/>
        <v>0</v>
      </c>
      <c r="J79" s="614">
        <f>'Membership Record'!J80+'Membership Record'!S80</f>
        <v>0</v>
      </c>
      <c r="K79" s="618">
        <f t="shared" si="16"/>
        <v>0</v>
      </c>
      <c r="L79" s="618">
        <f>'Membership Record'!K80+'Membership Record'!T80</f>
        <v>0</v>
      </c>
      <c r="M79" s="615">
        <f t="shared" si="17"/>
        <v>0</v>
      </c>
      <c r="N79" s="614">
        <f>'Membership Record'!L80+'Membership Record'!U80</f>
        <v>0</v>
      </c>
      <c r="O79" s="619">
        <f t="shared" si="18"/>
        <v>0</v>
      </c>
      <c r="P79" s="346"/>
      <c r="Q79" s="93"/>
      <c r="R79" s="94"/>
      <c r="S79" s="94"/>
      <c r="T79" s="330"/>
      <c r="U79" s="347"/>
      <c r="V79" s="92"/>
      <c r="W79" s="94"/>
      <c r="X79" s="95"/>
      <c r="Y79" s="95"/>
      <c r="Z79" s="95"/>
      <c r="AA79" s="94"/>
      <c r="AB79" s="346"/>
      <c r="AC79" s="93"/>
      <c r="AD79" s="94"/>
      <c r="AE79" s="94"/>
      <c r="AF79" s="330"/>
      <c r="AG79" s="347"/>
      <c r="AH79" s="92"/>
      <c r="AI79" s="94"/>
      <c r="AJ79" s="95"/>
      <c r="AK79" s="95"/>
      <c r="AL79" s="95"/>
      <c r="AM79" s="94"/>
      <c r="AN79" s="346"/>
      <c r="AO79" s="93"/>
      <c r="AP79" s="94"/>
      <c r="AQ79" s="94"/>
      <c r="AR79" s="330"/>
      <c r="AS79" s="347"/>
      <c r="AT79" s="92"/>
      <c r="AU79" s="94"/>
      <c r="AV79" s="95"/>
      <c r="AW79" s="95"/>
      <c r="AX79" s="95"/>
      <c r="AY79" s="94"/>
      <c r="AZ79" s="346"/>
      <c r="BA79" s="93"/>
      <c r="BB79" s="94"/>
      <c r="BC79" s="94"/>
      <c r="BD79" s="330"/>
      <c r="BE79" s="347"/>
      <c r="BF79" s="92"/>
      <c r="BG79" s="94"/>
      <c r="BH79" s="95"/>
      <c r="BI79" s="95"/>
      <c r="BJ79" s="95"/>
      <c r="BK79" s="94"/>
      <c r="BL79" s="346"/>
      <c r="BM79" s="93"/>
      <c r="BN79" s="94"/>
      <c r="BO79" s="94"/>
      <c r="BP79" s="330"/>
      <c r="BQ79" s="347"/>
      <c r="BR79" s="92"/>
      <c r="BS79" s="94"/>
      <c r="BT79" s="95"/>
      <c r="BU79" s="95"/>
      <c r="BV79" s="95"/>
      <c r="BW79" s="94"/>
      <c r="BX79" s="346"/>
      <c r="BY79" s="93"/>
      <c r="BZ79" s="94"/>
      <c r="CA79" s="94"/>
      <c r="CB79" s="330"/>
      <c r="CC79" s="347"/>
      <c r="CD79" s="92"/>
      <c r="CE79" s="94"/>
      <c r="CF79" s="95"/>
      <c r="CG79" s="95"/>
      <c r="CH79" s="95"/>
      <c r="CI79" s="94"/>
    </row>
    <row r="80" spans="1:87" x14ac:dyDescent="0.2">
      <c r="A80" s="8">
        <v>71</v>
      </c>
      <c r="B80" s="1125">
        <f>'Membership Record'!B81</f>
        <v>0</v>
      </c>
      <c r="C80" s="1125"/>
      <c r="D80" s="87">
        <f>'Membership Record'!G81+'Membership Record'!P81</f>
        <v>0</v>
      </c>
      <c r="E80" s="350">
        <f t="shared" si="13"/>
        <v>0</v>
      </c>
      <c r="F80" s="614">
        <f>'Membership Record'!H81+'Membership Record'!Q81</f>
        <v>0</v>
      </c>
      <c r="G80" s="615">
        <f t="shared" si="14"/>
        <v>0</v>
      </c>
      <c r="H80" s="614">
        <f>'Membership Record'!I81+'Membership Record'!R81</f>
        <v>0</v>
      </c>
      <c r="I80" s="616">
        <f t="shared" si="15"/>
        <v>0</v>
      </c>
      <c r="J80" s="614">
        <f>'Membership Record'!J81+'Membership Record'!S81</f>
        <v>0</v>
      </c>
      <c r="K80" s="618">
        <f t="shared" si="16"/>
        <v>0</v>
      </c>
      <c r="L80" s="618">
        <f>'Membership Record'!K81+'Membership Record'!T81</f>
        <v>0</v>
      </c>
      <c r="M80" s="615">
        <f t="shared" si="17"/>
        <v>0</v>
      </c>
      <c r="N80" s="614">
        <f>'Membership Record'!L81+'Membership Record'!U81</f>
        <v>0</v>
      </c>
      <c r="O80" s="619">
        <f t="shared" si="18"/>
        <v>0</v>
      </c>
      <c r="P80" s="346"/>
      <c r="Q80" s="93"/>
      <c r="R80" s="94"/>
      <c r="S80" s="94"/>
      <c r="T80" s="330"/>
      <c r="U80" s="347"/>
      <c r="V80" s="92"/>
      <c r="W80" s="94"/>
      <c r="X80" s="95"/>
      <c r="Y80" s="95"/>
      <c r="Z80" s="95"/>
      <c r="AA80" s="94"/>
      <c r="AB80" s="346"/>
      <c r="AC80" s="93"/>
      <c r="AD80" s="94"/>
      <c r="AE80" s="94"/>
      <c r="AF80" s="330"/>
      <c r="AG80" s="347"/>
      <c r="AH80" s="92"/>
      <c r="AI80" s="94"/>
      <c r="AJ80" s="95"/>
      <c r="AK80" s="95"/>
      <c r="AL80" s="95"/>
      <c r="AM80" s="94"/>
      <c r="AN80" s="346"/>
      <c r="AO80" s="93"/>
      <c r="AP80" s="94"/>
      <c r="AQ80" s="94"/>
      <c r="AR80" s="330"/>
      <c r="AS80" s="347"/>
      <c r="AT80" s="92"/>
      <c r="AU80" s="94"/>
      <c r="AV80" s="95"/>
      <c r="AW80" s="95"/>
      <c r="AX80" s="95"/>
      <c r="AY80" s="94"/>
      <c r="AZ80" s="346"/>
      <c r="BA80" s="93"/>
      <c r="BB80" s="94"/>
      <c r="BC80" s="94"/>
      <c r="BD80" s="330"/>
      <c r="BE80" s="347"/>
      <c r="BF80" s="92"/>
      <c r="BG80" s="94"/>
      <c r="BH80" s="95"/>
      <c r="BI80" s="95"/>
      <c r="BJ80" s="95"/>
      <c r="BK80" s="94"/>
      <c r="BL80" s="346"/>
      <c r="BM80" s="93"/>
      <c r="BN80" s="94"/>
      <c r="BO80" s="94"/>
      <c r="BP80" s="330"/>
      <c r="BQ80" s="347"/>
      <c r="BR80" s="92"/>
      <c r="BS80" s="94"/>
      <c r="BT80" s="95"/>
      <c r="BU80" s="95"/>
      <c r="BV80" s="95"/>
      <c r="BW80" s="94"/>
      <c r="BX80" s="346"/>
      <c r="BY80" s="93"/>
      <c r="BZ80" s="94"/>
      <c r="CA80" s="94"/>
      <c r="CB80" s="330"/>
      <c r="CC80" s="347"/>
      <c r="CD80" s="92"/>
      <c r="CE80" s="94"/>
      <c r="CF80" s="95"/>
      <c r="CG80" s="95"/>
      <c r="CH80" s="95"/>
      <c r="CI80" s="94"/>
    </row>
    <row r="81" spans="1:87" x14ac:dyDescent="0.2">
      <c r="A81" s="8">
        <v>72</v>
      </c>
      <c r="B81" s="1125">
        <f>'Membership Record'!B82</f>
        <v>0</v>
      </c>
      <c r="C81" s="1125"/>
      <c r="D81" s="87">
        <f>'Membership Record'!G82+'Membership Record'!P82</f>
        <v>0</v>
      </c>
      <c r="E81" s="350">
        <f t="shared" si="13"/>
        <v>0</v>
      </c>
      <c r="F81" s="614">
        <f>'Membership Record'!H82+'Membership Record'!Q82</f>
        <v>0</v>
      </c>
      <c r="G81" s="615">
        <f t="shared" si="14"/>
        <v>0</v>
      </c>
      <c r="H81" s="614">
        <f>'Membership Record'!I82+'Membership Record'!R82</f>
        <v>0</v>
      </c>
      <c r="I81" s="616">
        <f t="shared" si="15"/>
        <v>0</v>
      </c>
      <c r="J81" s="614">
        <f>'Membership Record'!J82+'Membership Record'!S82</f>
        <v>0</v>
      </c>
      <c r="K81" s="618">
        <f t="shared" si="16"/>
        <v>0</v>
      </c>
      <c r="L81" s="618">
        <f>'Membership Record'!K82+'Membership Record'!T82</f>
        <v>0</v>
      </c>
      <c r="M81" s="615">
        <f t="shared" si="17"/>
        <v>0</v>
      </c>
      <c r="N81" s="614">
        <f>'Membership Record'!L82+'Membership Record'!U82</f>
        <v>0</v>
      </c>
      <c r="O81" s="619">
        <f t="shared" si="18"/>
        <v>0</v>
      </c>
      <c r="P81" s="346"/>
      <c r="Q81" s="93"/>
      <c r="R81" s="94"/>
      <c r="S81" s="94"/>
      <c r="T81" s="330"/>
      <c r="U81" s="347"/>
      <c r="V81" s="92"/>
      <c r="W81" s="94"/>
      <c r="X81" s="95"/>
      <c r="Y81" s="95"/>
      <c r="Z81" s="95"/>
      <c r="AA81" s="94"/>
      <c r="AB81" s="346"/>
      <c r="AC81" s="93"/>
      <c r="AD81" s="94"/>
      <c r="AE81" s="94"/>
      <c r="AF81" s="330"/>
      <c r="AG81" s="347"/>
      <c r="AH81" s="92"/>
      <c r="AI81" s="94"/>
      <c r="AJ81" s="95"/>
      <c r="AK81" s="95"/>
      <c r="AL81" s="95"/>
      <c r="AM81" s="94"/>
      <c r="AN81" s="346"/>
      <c r="AO81" s="93"/>
      <c r="AP81" s="94"/>
      <c r="AQ81" s="94"/>
      <c r="AR81" s="330"/>
      <c r="AS81" s="347"/>
      <c r="AT81" s="92"/>
      <c r="AU81" s="94"/>
      <c r="AV81" s="95"/>
      <c r="AW81" s="95"/>
      <c r="AX81" s="95"/>
      <c r="AY81" s="94"/>
      <c r="AZ81" s="346"/>
      <c r="BA81" s="93"/>
      <c r="BB81" s="94"/>
      <c r="BC81" s="94"/>
      <c r="BD81" s="330"/>
      <c r="BE81" s="347"/>
      <c r="BF81" s="92"/>
      <c r="BG81" s="94"/>
      <c r="BH81" s="95"/>
      <c r="BI81" s="95"/>
      <c r="BJ81" s="95"/>
      <c r="BK81" s="94"/>
      <c r="BL81" s="346"/>
      <c r="BM81" s="93"/>
      <c r="BN81" s="94"/>
      <c r="BO81" s="94"/>
      <c r="BP81" s="330"/>
      <c r="BQ81" s="347"/>
      <c r="BR81" s="92"/>
      <c r="BS81" s="94"/>
      <c r="BT81" s="95"/>
      <c r="BU81" s="95"/>
      <c r="BV81" s="95"/>
      <c r="BW81" s="94"/>
      <c r="BX81" s="346"/>
      <c r="BY81" s="93"/>
      <c r="BZ81" s="94"/>
      <c r="CA81" s="94"/>
      <c r="CB81" s="330"/>
      <c r="CC81" s="347"/>
      <c r="CD81" s="92"/>
      <c r="CE81" s="94"/>
      <c r="CF81" s="95"/>
      <c r="CG81" s="95"/>
      <c r="CH81" s="95"/>
      <c r="CI81" s="94"/>
    </row>
    <row r="82" spans="1:87" x14ac:dyDescent="0.2">
      <c r="A82" s="8">
        <v>73</v>
      </c>
      <c r="B82" s="1125">
        <f>'Membership Record'!B83</f>
        <v>0</v>
      </c>
      <c r="C82" s="1125"/>
      <c r="D82" s="87">
        <f>'Membership Record'!G83+'Membership Record'!P83</f>
        <v>0</v>
      </c>
      <c r="E82" s="350">
        <f t="shared" si="13"/>
        <v>0</v>
      </c>
      <c r="F82" s="614">
        <f>'Membership Record'!H83+'Membership Record'!Q83</f>
        <v>0</v>
      </c>
      <c r="G82" s="615">
        <f t="shared" si="14"/>
        <v>0</v>
      </c>
      <c r="H82" s="614">
        <f>'Membership Record'!I83+'Membership Record'!R83</f>
        <v>0</v>
      </c>
      <c r="I82" s="616">
        <f t="shared" si="15"/>
        <v>0</v>
      </c>
      <c r="J82" s="614">
        <f>'Membership Record'!J83+'Membership Record'!S83</f>
        <v>0</v>
      </c>
      <c r="K82" s="618">
        <f t="shared" si="16"/>
        <v>0</v>
      </c>
      <c r="L82" s="618">
        <f>'Membership Record'!K83+'Membership Record'!T83</f>
        <v>0</v>
      </c>
      <c r="M82" s="615">
        <f t="shared" si="17"/>
        <v>0</v>
      </c>
      <c r="N82" s="614">
        <f>'Membership Record'!L83+'Membership Record'!U83</f>
        <v>0</v>
      </c>
      <c r="O82" s="619">
        <f t="shared" si="18"/>
        <v>0</v>
      </c>
      <c r="P82" s="346"/>
      <c r="Q82" s="93"/>
      <c r="R82" s="94"/>
      <c r="S82" s="94"/>
      <c r="T82" s="330"/>
      <c r="U82" s="347"/>
      <c r="V82" s="92"/>
      <c r="W82" s="94"/>
      <c r="X82" s="95"/>
      <c r="Y82" s="95"/>
      <c r="Z82" s="95"/>
      <c r="AA82" s="94"/>
      <c r="AB82" s="346"/>
      <c r="AC82" s="93"/>
      <c r="AD82" s="94"/>
      <c r="AE82" s="94"/>
      <c r="AF82" s="330"/>
      <c r="AG82" s="347"/>
      <c r="AH82" s="92"/>
      <c r="AI82" s="94"/>
      <c r="AJ82" s="95"/>
      <c r="AK82" s="95"/>
      <c r="AL82" s="95"/>
      <c r="AM82" s="94"/>
      <c r="AN82" s="346"/>
      <c r="AO82" s="93"/>
      <c r="AP82" s="94"/>
      <c r="AQ82" s="94"/>
      <c r="AR82" s="330"/>
      <c r="AS82" s="347"/>
      <c r="AT82" s="92"/>
      <c r="AU82" s="94"/>
      <c r="AV82" s="95"/>
      <c r="AW82" s="95"/>
      <c r="AX82" s="95"/>
      <c r="AY82" s="94"/>
      <c r="AZ82" s="346"/>
      <c r="BA82" s="93"/>
      <c r="BB82" s="94"/>
      <c r="BC82" s="94"/>
      <c r="BD82" s="330"/>
      <c r="BE82" s="347"/>
      <c r="BF82" s="92"/>
      <c r="BG82" s="94"/>
      <c r="BH82" s="95"/>
      <c r="BI82" s="95"/>
      <c r="BJ82" s="95"/>
      <c r="BK82" s="94"/>
      <c r="BL82" s="346"/>
      <c r="BM82" s="93"/>
      <c r="BN82" s="94"/>
      <c r="BO82" s="94"/>
      <c r="BP82" s="330"/>
      <c r="BQ82" s="347"/>
      <c r="BR82" s="92"/>
      <c r="BS82" s="94"/>
      <c r="BT82" s="95"/>
      <c r="BU82" s="95"/>
      <c r="BV82" s="95"/>
      <c r="BW82" s="94"/>
      <c r="BX82" s="346"/>
      <c r="BY82" s="93"/>
      <c r="BZ82" s="94"/>
      <c r="CA82" s="94"/>
      <c r="CB82" s="330"/>
      <c r="CC82" s="347"/>
      <c r="CD82" s="92"/>
      <c r="CE82" s="94"/>
      <c r="CF82" s="95"/>
      <c r="CG82" s="95"/>
      <c r="CH82" s="95"/>
      <c r="CI82" s="94"/>
    </row>
    <row r="83" spans="1:87" x14ac:dyDescent="0.2">
      <c r="A83" s="8">
        <v>74</v>
      </c>
      <c r="B83" s="1125">
        <f>'Membership Record'!B84</f>
        <v>0</v>
      </c>
      <c r="C83" s="1125"/>
      <c r="D83" s="87">
        <f>'Membership Record'!G84+'Membership Record'!P84</f>
        <v>0</v>
      </c>
      <c r="E83" s="350">
        <f t="shared" si="13"/>
        <v>0</v>
      </c>
      <c r="F83" s="614">
        <f>'Membership Record'!H84+'Membership Record'!Q84</f>
        <v>0</v>
      </c>
      <c r="G83" s="615">
        <f t="shared" si="14"/>
        <v>0</v>
      </c>
      <c r="H83" s="614">
        <f>'Membership Record'!I84+'Membership Record'!R84</f>
        <v>0</v>
      </c>
      <c r="I83" s="616">
        <f t="shared" si="15"/>
        <v>0</v>
      </c>
      <c r="J83" s="614">
        <f>'Membership Record'!J84+'Membership Record'!S84</f>
        <v>0</v>
      </c>
      <c r="K83" s="618">
        <f t="shared" si="16"/>
        <v>0</v>
      </c>
      <c r="L83" s="618">
        <f>'Membership Record'!K84+'Membership Record'!T84</f>
        <v>0</v>
      </c>
      <c r="M83" s="615">
        <f t="shared" si="17"/>
        <v>0</v>
      </c>
      <c r="N83" s="614">
        <f>'Membership Record'!L84+'Membership Record'!U84</f>
        <v>0</v>
      </c>
      <c r="O83" s="619">
        <f t="shared" si="18"/>
        <v>0</v>
      </c>
      <c r="P83" s="346"/>
      <c r="Q83" s="93"/>
      <c r="R83" s="94"/>
      <c r="S83" s="94"/>
      <c r="T83" s="330"/>
      <c r="U83" s="347"/>
      <c r="V83" s="92"/>
      <c r="W83" s="94"/>
      <c r="X83" s="95"/>
      <c r="Y83" s="95"/>
      <c r="Z83" s="95"/>
      <c r="AA83" s="94"/>
      <c r="AB83" s="346"/>
      <c r="AC83" s="93"/>
      <c r="AD83" s="94"/>
      <c r="AE83" s="94"/>
      <c r="AF83" s="330"/>
      <c r="AG83" s="347"/>
      <c r="AH83" s="92"/>
      <c r="AI83" s="94"/>
      <c r="AJ83" s="95"/>
      <c r="AK83" s="95"/>
      <c r="AL83" s="95"/>
      <c r="AM83" s="94"/>
      <c r="AN83" s="346"/>
      <c r="AO83" s="93"/>
      <c r="AP83" s="94"/>
      <c r="AQ83" s="94"/>
      <c r="AR83" s="330"/>
      <c r="AS83" s="347"/>
      <c r="AT83" s="92"/>
      <c r="AU83" s="94"/>
      <c r="AV83" s="95"/>
      <c r="AW83" s="95"/>
      <c r="AX83" s="95"/>
      <c r="AY83" s="94"/>
      <c r="AZ83" s="346"/>
      <c r="BA83" s="93"/>
      <c r="BB83" s="94"/>
      <c r="BC83" s="94"/>
      <c r="BD83" s="330"/>
      <c r="BE83" s="347"/>
      <c r="BF83" s="92"/>
      <c r="BG83" s="94"/>
      <c r="BH83" s="95"/>
      <c r="BI83" s="95"/>
      <c r="BJ83" s="95"/>
      <c r="BK83" s="94"/>
      <c r="BL83" s="346"/>
      <c r="BM83" s="93"/>
      <c r="BN83" s="94"/>
      <c r="BO83" s="94"/>
      <c r="BP83" s="330"/>
      <c r="BQ83" s="347"/>
      <c r="BR83" s="92"/>
      <c r="BS83" s="94"/>
      <c r="BT83" s="95"/>
      <c r="BU83" s="95"/>
      <c r="BV83" s="95"/>
      <c r="BW83" s="94"/>
      <c r="BX83" s="346"/>
      <c r="BY83" s="93"/>
      <c r="BZ83" s="94"/>
      <c r="CA83" s="94"/>
      <c r="CB83" s="330"/>
      <c r="CC83" s="347"/>
      <c r="CD83" s="92"/>
      <c r="CE83" s="94"/>
      <c r="CF83" s="95"/>
      <c r="CG83" s="95"/>
      <c r="CH83" s="95"/>
      <c r="CI83" s="94"/>
    </row>
    <row r="84" spans="1:87" x14ac:dyDescent="0.2">
      <c r="A84" s="8">
        <v>75</v>
      </c>
      <c r="B84" s="1125">
        <f>'Membership Record'!B85</f>
        <v>0</v>
      </c>
      <c r="C84" s="1125"/>
      <c r="D84" s="87">
        <f>'Membership Record'!G85+'Membership Record'!P85</f>
        <v>0</v>
      </c>
      <c r="E84" s="350">
        <f t="shared" si="13"/>
        <v>0</v>
      </c>
      <c r="F84" s="614">
        <f>'Membership Record'!H85+'Membership Record'!Q85</f>
        <v>0</v>
      </c>
      <c r="G84" s="615">
        <f t="shared" si="14"/>
        <v>0</v>
      </c>
      <c r="H84" s="614">
        <f>'Membership Record'!I85+'Membership Record'!R85</f>
        <v>0</v>
      </c>
      <c r="I84" s="616">
        <f t="shared" si="15"/>
        <v>0</v>
      </c>
      <c r="J84" s="614">
        <f>'Membership Record'!J85+'Membership Record'!S85</f>
        <v>0</v>
      </c>
      <c r="K84" s="618">
        <f t="shared" si="16"/>
        <v>0</v>
      </c>
      <c r="L84" s="618">
        <f>'Membership Record'!K85+'Membership Record'!T85</f>
        <v>0</v>
      </c>
      <c r="M84" s="615">
        <f t="shared" si="17"/>
        <v>0</v>
      </c>
      <c r="N84" s="614">
        <f>'Membership Record'!L85+'Membership Record'!U85</f>
        <v>0</v>
      </c>
      <c r="O84" s="619">
        <f t="shared" si="18"/>
        <v>0</v>
      </c>
      <c r="P84" s="346"/>
      <c r="Q84" s="93"/>
      <c r="R84" s="94"/>
      <c r="S84" s="94"/>
      <c r="T84" s="330"/>
      <c r="U84" s="347"/>
      <c r="V84" s="92"/>
      <c r="W84" s="94"/>
      <c r="X84" s="95"/>
      <c r="Y84" s="95"/>
      <c r="Z84" s="95"/>
      <c r="AA84" s="94"/>
      <c r="AB84" s="346"/>
      <c r="AC84" s="93"/>
      <c r="AD84" s="94"/>
      <c r="AE84" s="94"/>
      <c r="AF84" s="330"/>
      <c r="AG84" s="347"/>
      <c r="AH84" s="92"/>
      <c r="AI84" s="94"/>
      <c r="AJ84" s="95"/>
      <c r="AK84" s="95"/>
      <c r="AL84" s="95"/>
      <c r="AM84" s="94"/>
      <c r="AN84" s="346"/>
      <c r="AO84" s="93"/>
      <c r="AP84" s="94"/>
      <c r="AQ84" s="94"/>
      <c r="AR84" s="330"/>
      <c r="AS84" s="347"/>
      <c r="AT84" s="92"/>
      <c r="AU84" s="94"/>
      <c r="AV84" s="95"/>
      <c r="AW84" s="95"/>
      <c r="AX84" s="95"/>
      <c r="AY84" s="94"/>
      <c r="AZ84" s="346"/>
      <c r="BA84" s="93"/>
      <c r="BB84" s="94"/>
      <c r="BC84" s="94"/>
      <c r="BD84" s="330"/>
      <c r="BE84" s="347"/>
      <c r="BF84" s="92"/>
      <c r="BG84" s="94"/>
      <c r="BH84" s="95"/>
      <c r="BI84" s="95"/>
      <c r="BJ84" s="95"/>
      <c r="BK84" s="94"/>
      <c r="BL84" s="346"/>
      <c r="BM84" s="93"/>
      <c r="BN84" s="94"/>
      <c r="BO84" s="94"/>
      <c r="BP84" s="330"/>
      <c r="BQ84" s="347"/>
      <c r="BR84" s="92"/>
      <c r="BS84" s="94"/>
      <c r="BT84" s="95"/>
      <c r="BU84" s="95"/>
      <c r="BV84" s="95"/>
      <c r="BW84" s="94"/>
      <c r="BX84" s="346"/>
      <c r="BY84" s="93"/>
      <c r="BZ84" s="94"/>
      <c r="CA84" s="94"/>
      <c r="CB84" s="330"/>
      <c r="CC84" s="347"/>
      <c r="CD84" s="92"/>
      <c r="CE84" s="94"/>
      <c r="CF84" s="95"/>
      <c r="CG84" s="95"/>
      <c r="CH84" s="95"/>
      <c r="CI84" s="94"/>
    </row>
    <row r="85" spans="1:87" x14ac:dyDescent="0.2">
      <c r="A85" s="8">
        <v>76</v>
      </c>
      <c r="B85" s="1125">
        <f>'Membership Record'!B86</f>
        <v>0</v>
      </c>
      <c r="C85" s="1125"/>
      <c r="D85" s="87">
        <f>'Membership Record'!G86+'Membership Record'!P86</f>
        <v>0</v>
      </c>
      <c r="E85" s="350">
        <f t="shared" si="13"/>
        <v>0</v>
      </c>
      <c r="F85" s="614">
        <f>'Membership Record'!H86+'Membership Record'!Q86</f>
        <v>0</v>
      </c>
      <c r="G85" s="615">
        <f t="shared" si="14"/>
        <v>0</v>
      </c>
      <c r="H85" s="614">
        <f>'Membership Record'!I86+'Membership Record'!R86</f>
        <v>0</v>
      </c>
      <c r="I85" s="616">
        <f t="shared" si="15"/>
        <v>0</v>
      </c>
      <c r="J85" s="614">
        <f>'Membership Record'!J86+'Membership Record'!S86</f>
        <v>0</v>
      </c>
      <c r="K85" s="618">
        <f t="shared" si="16"/>
        <v>0</v>
      </c>
      <c r="L85" s="618">
        <f>'Membership Record'!K86+'Membership Record'!T86</f>
        <v>0</v>
      </c>
      <c r="M85" s="615">
        <f t="shared" si="17"/>
        <v>0</v>
      </c>
      <c r="N85" s="614">
        <f>'Membership Record'!L86+'Membership Record'!U86</f>
        <v>0</v>
      </c>
      <c r="O85" s="619">
        <f t="shared" si="18"/>
        <v>0</v>
      </c>
      <c r="P85" s="346"/>
      <c r="Q85" s="93"/>
      <c r="R85" s="94"/>
      <c r="S85" s="94"/>
      <c r="T85" s="330"/>
      <c r="U85" s="347"/>
      <c r="V85" s="92"/>
      <c r="W85" s="94"/>
      <c r="X85" s="95"/>
      <c r="Y85" s="95"/>
      <c r="Z85" s="95"/>
      <c r="AA85" s="94"/>
      <c r="AB85" s="346"/>
      <c r="AC85" s="93"/>
      <c r="AD85" s="94"/>
      <c r="AE85" s="94"/>
      <c r="AF85" s="330"/>
      <c r="AG85" s="347"/>
      <c r="AH85" s="92"/>
      <c r="AI85" s="94"/>
      <c r="AJ85" s="95"/>
      <c r="AK85" s="95"/>
      <c r="AL85" s="95"/>
      <c r="AM85" s="94"/>
      <c r="AN85" s="346"/>
      <c r="AO85" s="93"/>
      <c r="AP85" s="94"/>
      <c r="AQ85" s="94"/>
      <c r="AR85" s="330"/>
      <c r="AS85" s="347"/>
      <c r="AT85" s="92"/>
      <c r="AU85" s="94"/>
      <c r="AV85" s="95"/>
      <c r="AW85" s="95"/>
      <c r="AX85" s="95"/>
      <c r="AY85" s="94"/>
      <c r="AZ85" s="346"/>
      <c r="BA85" s="93"/>
      <c r="BB85" s="94"/>
      <c r="BC85" s="94"/>
      <c r="BD85" s="330"/>
      <c r="BE85" s="347"/>
      <c r="BF85" s="92"/>
      <c r="BG85" s="94"/>
      <c r="BH85" s="95"/>
      <c r="BI85" s="95"/>
      <c r="BJ85" s="95"/>
      <c r="BK85" s="94"/>
      <c r="BL85" s="346"/>
      <c r="BM85" s="93"/>
      <c r="BN85" s="94"/>
      <c r="BO85" s="94"/>
      <c r="BP85" s="330"/>
      <c r="BQ85" s="347"/>
      <c r="BR85" s="92"/>
      <c r="BS85" s="94"/>
      <c r="BT85" s="95"/>
      <c r="BU85" s="95"/>
      <c r="BV85" s="95"/>
      <c r="BW85" s="94"/>
      <c r="BX85" s="346"/>
      <c r="BY85" s="93"/>
      <c r="BZ85" s="94"/>
      <c r="CA85" s="94"/>
      <c r="CB85" s="330"/>
      <c r="CC85" s="347"/>
      <c r="CD85" s="92"/>
      <c r="CE85" s="94"/>
      <c r="CF85" s="95"/>
      <c r="CG85" s="95"/>
      <c r="CH85" s="95"/>
      <c r="CI85" s="94"/>
    </row>
    <row r="86" spans="1:87" x14ac:dyDescent="0.2">
      <c r="A86" s="8">
        <v>77</v>
      </c>
      <c r="B86" s="1125">
        <f>'Membership Record'!B87</f>
        <v>0</v>
      </c>
      <c r="C86" s="1125"/>
      <c r="D86" s="87">
        <f>'Membership Record'!G87+'Membership Record'!P87</f>
        <v>0</v>
      </c>
      <c r="E86" s="350">
        <f t="shared" si="13"/>
        <v>0</v>
      </c>
      <c r="F86" s="614">
        <f>'Membership Record'!H87+'Membership Record'!Q87</f>
        <v>0</v>
      </c>
      <c r="G86" s="615">
        <f t="shared" si="14"/>
        <v>0</v>
      </c>
      <c r="H86" s="614">
        <f>'Membership Record'!I87+'Membership Record'!R87</f>
        <v>0</v>
      </c>
      <c r="I86" s="616">
        <f t="shared" si="15"/>
        <v>0</v>
      </c>
      <c r="J86" s="614">
        <f>'Membership Record'!J87+'Membership Record'!S87</f>
        <v>0</v>
      </c>
      <c r="K86" s="618">
        <f t="shared" si="16"/>
        <v>0</v>
      </c>
      <c r="L86" s="618">
        <f>'Membership Record'!K87+'Membership Record'!T87</f>
        <v>0</v>
      </c>
      <c r="M86" s="615">
        <f t="shared" si="17"/>
        <v>0</v>
      </c>
      <c r="N86" s="614">
        <f>'Membership Record'!L87+'Membership Record'!U87</f>
        <v>0</v>
      </c>
      <c r="O86" s="619">
        <f t="shared" si="18"/>
        <v>0</v>
      </c>
      <c r="P86" s="346"/>
      <c r="Q86" s="93"/>
      <c r="R86" s="94"/>
      <c r="S86" s="94"/>
      <c r="T86" s="330"/>
      <c r="U86" s="347"/>
      <c r="V86" s="92"/>
      <c r="W86" s="94"/>
      <c r="X86" s="95"/>
      <c r="Y86" s="95"/>
      <c r="Z86" s="95"/>
      <c r="AA86" s="94"/>
      <c r="AB86" s="346"/>
      <c r="AC86" s="93"/>
      <c r="AD86" s="94"/>
      <c r="AE86" s="94"/>
      <c r="AF86" s="330"/>
      <c r="AG86" s="347"/>
      <c r="AH86" s="92"/>
      <c r="AI86" s="94"/>
      <c r="AJ86" s="95"/>
      <c r="AK86" s="95"/>
      <c r="AL86" s="95"/>
      <c r="AM86" s="94"/>
      <c r="AN86" s="346"/>
      <c r="AO86" s="93"/>
      <c r="AP86" s="94"/>
      <c r="AQ86" s="94"/>
      <c r="AR86" s="330"/>
      <c r="AS86" s="347"/>
      <c r="AT86" s="92"/>
      <c r="AU86" s="94"/>
      <c r="AV86" s="95"/>
      <c r="AW86" s="95"/>
      <c r="AX86" s="95"/>
      <c r="AY86" s="94"/>
      <c r="AZ86" s="346"/>
      <c r="BA86" s="93"/>
      <c r="BB86" s="94"/>
      <c r="BC86" s="94"/>
      <c r="BD86" s="330"/>
      <c r="BE86" s="347"/>
      <c r="BF86" s="92"/>
      <c r="BG86" s="94"/>
      <c r="BH86" s="95"/>
      <c r="BI86" s="95"/>
      <c r="BJ86" s="95"/>
      <c r="BK86" s="94"/>
      <c r="BL86" s="346"/>
      <c r="BM86" s="93"/>
      <c r="BN86" s="94"/>
      <c r="BO86" s="94"/>
      <c r="BP86" s="330"/>
      <c r="BQ86" s="347"/>
      <c r="BR86" s="92"/>
      <c r="BS86" s="94"/>
      <c r="BT86" s="95"/>
      <c r="BU86" s="95"/>
      <c r="BV86" s="95"/>
      <c r="BW86" s="94"/>
      <c r="BX86" s="346"/>
      <c r="BY86" s="93"/>
      <c r="BZ86" s="94"/>
      <c r="CA86" s="94"/>
      <c r="CB86" s="330"/>
      <c r="CC86" s="347"/>
      <c r="CD86" s="92"/>
      <c r="CE86" s="94"/>
      <c r="CF86" s="95"/>
      <c r="CG86" s="95"/>
      <c r="CH86" s="95"/>
      <c r="CI86" s="94"/>
    </row>
    <row r="87" spans="1:87" x14ac:dyDescent="0.2">
      <c r="A87" s="8">
        <v>78</v>
      </c>
      <c r="B87" s="1125">
        <f>'Membership Record'!B88</f>
        <v>0</v>
      </c>
      <c r="C87" s="1125"/>
      <c r="D87" s="87">
        <f>'Membership Record'!G88+'Membership Record'!P88</f>
        <v>0</v>
      </c>
      <c r="E87" s="350">
        <f t="shared" si="13"/>
        <v>0</v>
      </c>
      <c r="F87" s="614">
        <f>'Membership Record'!H88+'Membership Record'!Q88</f>
        <v>0</v>
      </c>
      <c r="G87" s="615">
        <f t="shared" si="14"/>
        <v>0</v>
      </c>
      <c r="H87" s="614">
        <f>'Membership Record'!I88+'Membership Record'!R88</f>
        <v>0</v>
      </c>
      <c r="I87" s="616">
        <f t="shared" si="15"/>
        <v>0</v>
      </c>
      <c r="J87" s="614">
        <f>'Membership Record'!J88+'Membership Record'!S88</f>
        <v>0</v>
      </c>
      <c r="K87" s="618">
        <f t="shared" si="16"/>
        <v>0</v>
      </c>
      <c r="L87" s="618">
        <f>'Membership Record'!K88+'Membership Record'!T88</f>
        <v>0</v>
      </c>
      <c r="M87" s="615">
        <f t="shared" si="17"/>
        <v>0</v>
      </c>
      <c r="N87" s="614">
        <f>'Membership Record'!L88+'Membership Record'!U88</f>
        <v>0</v>
      </c>
      <c r="O87" s="619">
        <f t="shared" si="18"/>
        <v>0</v>
      </c>
      <c r="P87" s="346"/>
      <c r="Q87" s="93"/>
      <c r="R87" s="94"/>
      <c r="S87" s="94"/>
      <c r="T87" s="330"/>
      <c r="U87" s="347"/>
      <c r="V87" s="92"/>
      <c r="W87" s="94"/>
      <c r="X87" s="95"/>
      <c r="Y87" s="95"/>
      <c r="Z87" s="95"/>
      <c r="AA87" s="94"/>
      <c r="AB87" s="346"/>
      <c r="AC87" s="93"/>
      <c r="AD87" s="94"/>
      <c r="AE87" s="94"/>
      <c r="AF87" s="330"/>
      <c r="AG87" s="347"/>
      <c r="AH87" s="92"/>
      <c r="AI87" s="94"/>
      <c r="AJ87" s="95"/>
      <c r="AK87" s="95"/>
      <c r="AL87" s="95"/>
      <c r="AM87" s="94"/>
      <c r="AN87" s="346"/>
      <c r="AO87" s="93"/>
      <c r="AP87" s="94"/>
      <c r="AQ87" s="94"/>
      <c r="AR87" s="330"/>
      <c r="AS87" s="347"/>
      <c r="AT87" s="92"/>
      <c r="AU87" s="94"/>
      <c r="AV87" s="95"/>
      <c r="AW87" s="95"/>
      <c r="AX87" s="95"/>
      <c r="AY87" s="94"/>
      <c r="AZ87" s="346"/>
      <c r="BA87" s="93"/>
      <c r="BB87" s="94"/>
      <c r="BC87" s="94"/>
      <c r="BD87" s="330"/>
      <c r="BE87" s="347"/>
      <c r="BF87" s="92"/>
      <c r="BG87" s="94"/>
      <c r="BH87" s="95"/>
      <c r="BI87" s="95"/>
      <c r="BJ87" s="95"/>
      <c r="BK87" s="94"/>
      <c r="BL87" s="346"/>
      <c r="BM87" s="93"/>
      <c r="BN87" s="94"/>
      <c r="BO87" s="94"/>
      <c r="BP87" s="330"/>
      <c r="BQ87" s="347"/>
      <c r="BR87" s="92"/>
      <c r="BS87" s="94"/>
      <c r="BT87" s="95"/>
      <c r="BU87" s="95"/>
      <c r="BV87" s="95"/>
      <c r="BW87" s="94"/>
      <c r="BX87" s="346"/>
      <c r="BY87" s="93"/>
      <c r="BZ87" s="94"/>
      <c r="CA87" s="94"/>
      <c r="CB87" s="330"/>
      <c r="CC87" s="347"/>
      <c r="CD87" s="92"/>
      <c r="CE87" s="94"/>
      <c r="CF87" s="95"/>
      <c r="CG87" s="95"/>
      <c r="CH87" s="95"/>
      <c r="CI87" s="94"/>
    </row>
    <row r="88" spans="1:87" x14ac:dyDescent="0.2">
      <c r="A88" s="8">
        <v>79</v>
      </c>
      <c r="B88" s="1125">
        <f>'Membership Record'!B89</f>
        <v>0</v>
      </c>
      <c r="C88" s="1125"/>
      <c r="D88" s="87">
        <f>'Membership Record'!G89+'Membership Record'!P89</f>
        <v>0</v>
      </c>
      <c r="E88" s="350">
        <f t="shared" si="13"/>
        <v>0</v>
      </c>
      <c r="F88" s="614">
        <f>'Membership Record'!H89+'Membership Record'!Q89</f>
        <v>0</v>
      </c>
      <c r="G88" s="615">
        <f t="shared" si="14"/>
        <v>0</v>
      </c>
      <c r="H88" s="614">
        <f>'Membership Record'!I89+'Membership Record'!R89</f>
        <v>0</v>
      </c>
      <c r="I88" s="616">
        <f t="shared" si="15"/>
        <v>0</v>
      </c>
      <c r="J88" s="614">
        <f>'Membership Record'!J89+'Membership Record'!S89</f>
        <v>0</v>
      </c>
      <c r="K88" s="618">
        <f t="shared" si="16"/>
        <v>0</v>
      </c>
      <c r="L88" s="618">
        <f>'Membership Record'!K89+'Membership Record'!T89</f>
        <v>0</v>
      </c>
      <c r="M88" s="615">
        <f t="shared" si="17"/>
        <v>0</v>
      </c>
      <c r="N88" s="614">
        <f>'Membership Record'!L89+'Membership Record'!U89</f>
        <v>0</v>
      </c>
      <c r="O88" s="619">
        <f t="shared" si="18"/>
        <v>0</v>
      </c>
      <c r="P88" s="346"/>
      <c r="Q88" s="93"/>
      <c r="R88" s="94"/>
      <c r="S88" s="94"/>
      <c r="T88" s="330"/>
      <c r="U88" s="347"/>
      <c r="V88" s="92"/>
      <c r="W88" s="94"/>
      <c r="X88" s="95"/>
      <c r="Y88" s="95"/>
      <c r="Z88" s="95"/>
      <c r="AA88" s="94"/>
      <c r="AB88" s="346"/>
      <c r="AC88" s="93"/>
      <c r="AD88" s="94"/>
      <c r="AE88" s="94"/>
      <c r="AF88" s="330"/>
      <c r="AG88" s="347"/>
      <c r="AH88" s="92"/>
      <c r="AI88" s="94"/>
      <c r="AJ88" s="95"/>
      <c r="AK88" s="95"/>
      <c r="AL88" s="95"/>
      <c r="AM88" s="94"/>
      <c r="AN88" s="346"/>
      <c r="AO88" s="93"/>
      <c r="AP88" s="94"/>
      <c r="AQ88" s="94"/>
      <c r="AR88" s="330"/>
      <c r="AS88" s="347"/>
      <c r="AT88" s="92"/>
      <c r="AU88" s="94"/>
      <c r="AV88" s="95"/>
      <c r="AW88" s="95"/>
      <c r="AX88" s="95"/>
      <c r="AY88" s="94"/>
      <c r="AZ88" s="346"/>
      <c r="BA88" s="93"/>
      <c r="BB88" s="94"/>
      <c r="BC88" s="94"/>
      <c r="BD88" s="330"/>
      <c r="BE88" s="347"/>
      <c r="BF88" s="92"/>
      <c r="BG88" s="94"/>
      <c r="BH88" s="95"/>
      <c r="BI88" s="95"/>
      <c r="BJ88" s="95"/>
      <c r="BK88" s="94"/>
      <c r="BL88" s="346"/>
      <c r="BM88" s="93"/>
      <c r="BN88" s="94"/>
      <c r="BO88" s="94"/>
      <c r="BP88" s="330"/>
      <c r="BQ88" s="347"/>
      <c r="BR88" s="92"/>
      <c r="BS88" s="94"/>
      <c r="BT88" s="95"/>
      <c r="BU88" s="95"/>
      <c r="BV88" s="95"/>
      <c r="BW88" s="94"/>
      <c r="BX88" s="346"/>
      <c r="BY88" s="93"/>
      <c r="BZ88" s="94"/>
      <c r="CA88" s="94"/>
      <c r="CB88" s="330"/>
      <c r="CC88" s="347"/>
      <c r="CD88" s="92"/>
      <c r="CE88" s="94"/>
      <c r="CF88" s="95"/>
      <c r="CG88" s="95"/>
      <c r="CH88" s="95"/>
      <c r="CI88" s="94"/>
    </row>
    <row r="89" spans="1:87" x14ac:dyDescent="0.2">
      <c r="A89" s="8">
        <v>80</v>
      </c>
      <c r="B89" s="1125">
        <f>'Membership Record'!B90</f>
        <v>0</v>
      </c>
      <c r="C89" s="1125"/>
      <c r="D89" s="87">
        <f>'Membership Record'!G90+'Membership Record'!P90</f>
        <v>0</v>
      </c>
      <c r="E89" s="350">
        <f t="shared" si="13"/>
        <v>0</v>
      </c>
      <c r="F89" s="614">
        <f>'Membership Record'!H90+'Membership Record'!Q90</f>
        <v>0</v>
      </c>
      <c r="G89" s="615">
        <f t="shared" si="14"/>
        <v>0</v>
      </c>
      <c r="H89" s="614">
        <f>'Membership Record'!I90+'Membership Record'!R90</f>
        <v>0</v>
      </c>
      <c r="I89" s="616">
        <f t="shared" si="15"/>
        <v>0</v>
      </c>
      <c r="J89" s="614">
        <f>'Membership Record'!J90+'Membership Record'!S90</f>
        <v>0</v>
      </c>
      <c r="K89" s="618">
        <f t="shared" si="16"/>
        <v>0</v>
      </c>
      <c r="L89" s="618">
        <f>'Membership Record'!K90+'Membership Record'!T90</f>
        <v>0</v>
      </c>
      <c r="M89" s="615">
        <f t="shared" si="17"/>
        <v>0</v>
      </c>
      <c r="N89" s="614">
        <f>'Membership Record'!L90+'Membership Record'!U90</f>
        <v>0</v>
      </c>
      <c r="O89" s="619">
        <f t="shared" si="18"/>
        <v>0</v>
      </c>
      <c r="P89" s="346"/>
      <c r="Q89" s="93"/>
      <c r="R89" s="94"/>
      <c r="S89" s="94"/>
      <c r="T89" s="330"/>
      <c r="U89" s="347"/>
      <c r="V89" s="92"/>
      <c r="W89" s="94"/>
      <c r="X89" s="95"/>
      <c r="Y89" s="95"/>
      <c r="Z89" s="95"/>
      <c r="AA89" s="94"/>
      <c r="AB89" s="346"/>
      <c r="AC89" s="93"/>
      <c r="AD89" s="94"/>
      <c r="AE89" s="94"/>
      <c r="AF89" s="330"/>
      <c r="AG89" s="347"/>
      <c r="AH89" s="92"/>
      <c r="AI89" s="94"/>
      <c r="AJ89" s="95"/>
      <c r="AK89" s="95"/>
      <c r="AL89" s="95"/>
      <c r="AM89" s="94"/>
      <c r="AN89" s="346"/>
      <c r="AO89" s="93"/>
      <c r="AP89" s="94"/>
      <c r="AQ89" s="94"/>
      <c r="AR89" s="330"/>
      <c r="AS89" s="347"/>
      <c r="AT89" s="92"/>
      <c r="AU89" s="94"/>
      <c r="AV89" s="95"/>
      <c r="AW89" s="95"/>
      <c r="AX89" s="95"/>
      <c r="AY89" s="94"/>
      <c r="AZ89" s="346"/>
      <c r="BA89" s="93"/>
      <c r="BB89" s="94"/>
      <c r="BC89" s="94"/>
      <c r="BD89" s="330"/>
      <c r="BE89" s="347"/>
      <c r="BF89" s="92"/>
      <c r="BG89" s="94"/>
      <c r="BH89" s="95"/>
      <c r="BI89" s="95"/>
      <c r="BJ89" s="95"/>
      <c r="BK89" s="94"/>
      <c r="BL89" s="346"/>
      <c r="BM89" s="93"/>
      <c r="BN89" s="94"/>
      <c r="BO89" s="94"/>
      <c r="BP89" s="330"/>
      <c r="BQ89" s="347"/>
      <c r="BR89" s="92"/>
      <c r="BS89" s="94"/>
      <c r="BT89" s="95"/>
      <c r="BU89" s="95"/>
      <c r="BV89" s="95"/>
      <c r="BW89" s="94"/>
      <c r="BX89" s="346"/>
      <c r="BY89" s="93"/>
      <c r="BZ89" s="94"/>
      <c r="CA89" s="94"/>
      <c r="CB89" s="330"/>
      <c r="CC89" s="347"/>
      <c r="CD89" s="92"/>
      <c r="CE89" s="94"/>
      <c r="CF89" s="95"/>
      <c r="CG89" s="95"/>
      <c r="CH89" s="95"/>
      <c r="CI89" s="94"/>
    </row>
    <row r="90" spans="1:87" x14ac:dyDescent="0.2">
      <c r="A90" s="8">
        <v>81</v>
      </c>
      <c r="B90" s="1125">
        <f>'Membership Record'!B91</f>
        <v>0</v>
      </c>
      <c r="C90" s="1125"/>
      <c r="D90" s="87">
        <f>'Membership Record'!G91+'Membership Record'!P91</f>
        <v>0</v>
      </c>
      <c r="E90" s="350">
        <f t="shared" si="13"/>
        <v>0</v>
      </c>
      <c r="F90" s="614">
        <f>'Membership Record'!H91+'Membership Record'!Q91</f>
        <v>0</v>
      </c>
      <c r="G90" s="615">
        <f t="shared" si="14"/>
        <v>0</v>
      </c>
      <c r="H90" s="614">
        <f>'Membership Record'!I91+'Membership Record'!R91</f>
        <v>0</v>
      </c>
      <c r="I90" s="616">
        <f t="shared" si="15"/>
        <v>0</v>
      </c>
      <c r="J90" s="614">
        <f>'Membership Record'!J91+'Membership Record'!S91</f>
        <v>0</v>
      </c>
      <c r="K90" s="618">
        <f t="shared" si="16"/>
        <v>0</v>
      </c>
      <c r="L90" s="618">
        <f>'Membership Record'!K91+'Membership Record'!T91</f>
        <v>0</v>
      </c>
      <c r="M90" s="615">
        <f t="shared" si="17"/>
        <v>0</v>
      </c>
      <c r="N90" s="614">
        <f>'Membership Record'!L91+'Membership Record'!U91</f>
        <v>0</v>
      </c>
      <c r="O90" s="619">
        <f t="shared" si="18"/>
        <v>0</v>
      </c>
      <c r="P90" s="346"/>
      <c r="Q90" s="93"/>
      <c r="R90" s="94"/>
      <c r="S90" s="94"/>
      <c r="T90" s="330"/>
      <c r="U90" s="347"/>
      <c r="V90" s="92"/>
      <c r="W90" s="94"/>
      <c r="X90" s="95"/>
      <c r="Y90" s="95"/>
      <c r="Z90" s="95"/>
      <c r="AA90" s="94"/>
      <c r="AB90" s="346"/>
      <c r="AC90" s="93"/>
      <c r="AD90" s="94"/>
      <c r="AE90" s="94"/>
      <c r="AF90" s="330"/>
      <c r="AG90" s="347"/>
      <c r="AH90" s="92"/>
      <c r="AI90" s="94"/>
      <c r="AJ90" s="95"/>
      <c r="AK90" s="95"/>
      <c r="AL90" s="95"/>
      <c r="AM90" s="94"/>
      <c r="AN90" s="346"/>
      <c r="AO90" s="93"/>
      <c r="AP90" s="94"/>
      <c r="AQ90" s="94"/>
      <c r="AR90" s="330"/>
      <c r="AS90" s="347"/>
      <c r="AT90" s="92"/>
      <c r="AU90" s="94"/>
      <c r="AV90" s="95"/>
      <c r="AW90" s="95"/>
      <c r="AX90" s="95"/>
      <c r="AY90" s="94"/>
      <c r="AZ90" s="346"/>
      <c r="BA90" s="93"/>
      <c r="BB90" s="94"/>
      <c r="BC90" s="94"/>
      <c r="BD90" s="330"/>
      <c r="BE90" s="347"/>
      <c r="BF90" s="92"/>
      <c r="BG90" s="94"/>
      <c r="BH90" s="95"/>
      <c r="BI90" s="95"/>
      <c r="BJ90" s="95"/>
      <c r="BK90" s="94"/>
      <c r="BL90" s="346"/>
      <c r="BM90" s="93"/>
      <c r="BN90" s="94"/>
      <c r="BO90" s="94"/>
      <c r="BP90" s="330"/>
      <c r="BQ90" s="347"/>
      <c r="BR90" s="92"/>
      <c r="BS90" s="94"/>
      <c r="BT90" s="95"/>
      <c r="BU90" s="95"/>
      <c r="BV90" s="95"/>
      <c r="BW90" s="94"/>
      <c r="BX90" s="346"/>
      <c r="BY90" s="93"/>
      <c r="BZ90" s="94"/>
      <c r="CA90" s="94"/>
      <c r="CB90" s="330"/>
      <c r="CC90" s="347"/>
      <c r="CD90" s="92"/>
      <c r="CE90" s="94"/>
      <c r="CF90" s="95"/>
      <c r="CG90" s="95"/>
      <c r="CH90" s="95"/>
      <c r="CI90" s="94"/>
    </row>
    <row r="91" spans="1:87" x14ac:dyDescent="0.2">
      <c r="A91" s="8">
        <v>82</v>
      </c>
      <c r="B91" s="1125">
        <f>'Membership Record'!B92</f>
        <v>0</v>
      </c>
      <c r="C91" s="1125"/>
      <c r="D91" s="87">
        <f>'Membership Record'!G92+'Membership Record'!P92</f>
        <v>0</v>
      </c>
      <c r="E91" s="350">
        <f t="shared" si="13"/>
        <v>0</v>
      </c>
      <c r="F91" s="614">
        <f>'Membership Record'!H92+'Membership Record'!Q92</f>
        <v>0</v>
      </c>
      <c r="G91" s="615">
        <f t="shared" si="14"/>
        <v>0</v>
      </c>
      <c r="H91" s="614">
        <f>'Membership Record'!I92+'Membership Record'!R92</f>
        <v>0</v>
      </c>
      <c r="I91" s="616">
        <f t="shared" si="15"/>
        <v>0</v>
      </c>
      <c r="J91" s="614">
        <f>'Membership Record'!J92+'Membership Record'!S92</f>
        <v>0</v>
      </c>
      <c r="K91" s="618">
        <f t="shared" si="16"/>
        <v>0</v>
      </c>
      <c r="L91" s="618">
        <f>'Membership Record'!K92+'Membership Record'!T92</f>
        <v>0</v>
      </c>
      <c r="M91" s="615">
        <f t="shared" si="17"/>
        <v>0</v>
      </c>
      <c r="N91" s="614">
        <f>'Membership Record'!L92+'Membership Record'!U92</f>
        <v>0</v>
      </c>
      <c r="O91" s="619">
        <f t="shared" si="18"/>
        <v>0</v>
      </c>
      <c r="P91" s="346"/>
      <c r="Q91" s="93"/>
      <c r="R91" s="94"/>
      <c r="S91" s="94"/>
      <c r="T91" s="330"/>
      <c r="U91" s="347"/>
      <c r="V91" s="92"/>
      <c r="W91" s="94"/>
      <c r="X91" s="95"/>
      <c r="Y91" s="95"/>
      <c r="Z91" s="95"/>
      <c r="AA91" s="94"/>
      <c r="AB91" s="346"/>
      <c r="AC91" s="93"/>
      <c r="AD91" s="94"/>
      <c r="AE91" s="94"/>
      <c r="AF91" s="330"/>
      <c r="AG91" s="347"/>
      <c r="AH91" s="92"/>
      <c r="AI91" s="94"/>
      <c r="AJ91" s="95"/>
      <c r="AK91" s="95"/>
      <c r="AL91" s="95"/>
      <c r="AM91" s="94"/>
      <c r="AN91" s="346"/>
      <c r="AO91" s="93"/>
      <c r="AP91" s="94"/>
      <c r="AQ91" s="94"/>
      <c r="AR91" s="330"/>
      <c r="AS91" s="347"/>
      <c r="AT91" s="92"/>
      <c r="AU91" s="94"/>
      <c r="AV91" s="95"/>
      <c r="AW91" s="95"/>
      <c r="AX91" s="95"/>
      <c r="AY91" s="94"/>
      <c r="AZ91" s="346"/>
      <c r="BA91" s="93"/>
      <c r="BB91" s="94"/>
      <c r="BC91" s="94"/>
      <c r="BD91" s="330"/>
      <c r="BE91" s="347"/>
      <c r="BF91" s="92"/>
      <c r="BG91" s="94"/>
      <c r="BH91" s="95"/>
      <c r="BI91" s="95"/>
      <c r="BJ91" s="95"/>
      <c r="BK91" s="94"/>
      <c r="BL91" s="346"/>
      <c r="BM91" s="93"/>
      <c r="BN91" s="94"/>
      <c r="BO91" s="94"/>
      <c r="BP91" s="330"/>
      <c r="BQ91" s="347"/>
      <c r="BR91" s="92"/>
      <c r="BS91" s="94"/>
      <c r="BT91" s="95"/>
      <c r="BU91" s="95"/>
      <c r="BV91" s="95"/>
      <c r="BW91" s="94"/>
      <c r="BX91" s="346"/>
      <c r="BY91" s="93"/>
      <c r="BZ91" s="94"/>
      <c r="CA91" s="94"/>
      <c r="CB91" s="330"/>
      <c r="CC91" s="347"/>
      <c r="CD91" s="92"/>
      <c r="CE91" s="94"/>
      <c r="CF91" s="95"/>
      <c r="CG91" s="95"/>
      <c r="CH91" s="95"/>
      <c r="CI91" s="94"/>
    </row>
    <row r="92" spans="1:87" x14ac:dyDescent="0.2">
      <c r="A92" s="8">
        <v>83</v>
      </c>
      <c r="B92" s="1125">
        <f>'Membership Record'!B93</f>
        <v>0</v>
      </c>
      <c r="C92" s="1125"/>
      <c r="D92" s="87">
        <f>'Membership Record'!G93+'Membership Record'!P93</f>
        <v>0</v>
      </c>
      <c r="E92" s="350">
        <f t="shared" si="13"/>
        <v>0</v>
      </c>
      <c r="F92" s="614">
        <f>'Membership Record'!H93+'Membership Record'!Q93</f>
        <v>0</v>
      </c>
      <c r="G92" s="615">
        <f t="shared" si="14"/>
        <v>0</v>
      </c>
      <c r="H92" s="614">
        <f>'Membership Record'!I93+'Membership Record'!R93</f>
        <v>0</v>
      </c>
      <c r="I92" s="616">
        <f t="shared" si="15"/>
        <v>0</v>
      </c>
      <c r="J92" s="614">
        <f>'Membership Record'!J93+'Membership Record'!S93</f>
        <v>0</v>
      </c>
      <c r="K92" s="618">
        <f t="shared" si="16"/>
        <v>0</v>
      </c>
      <c r="L92" s="618">
        <f>'Membership Record'!K93+'Membership Record'!T93</f>
        <v>0</v>
      </c>
      <c r="M92" s="615">
        <f t="shared" si="17"/>
        <v>0</v>
      </c>
      <c r="N92" s="614">
        <f>'Membership Record'!L93+'Membership Record'!U93</f>
        <v>0</v>
      </c>
      <c r="O92" s="619">
        <f t="shared" si="18"/>
        <v>0</v>
      </c>
      <c r="P92" s="346"/>
      <c r="Q92" s="93"/>
      <c r="R92" s="94"/>
      <c r="S92" s="94"/>
      <c r="T92" s="330"/>
      <c r="U92" s="347"/>
      <c r="V92" s="92"/>
      <c r="W92" s="94"/>
      <c r="X92" s="95"/>
      <c r="Y92" s="95"/>
      <c r="Z92" s="95"/>
      <c r="AA92" s="94"/>
      <c r="AB92" s="346"/>
      <c r="AC92" s="93"/>
      <c r="AD92" s="94"/>
      <c r="AE92" s="94"/>
      <c r="AF92" s="330"/>
      <c r="AG92" s="347"/>
      <c r="AH92" s="92"/>
      <c r="AI92" s="94"/>
      <c r="AJ92" s="95"/>
      <c r="AK92" s="95"/>
      <c r="AL92" s="95"/>
      <c r="AM92" s="94"/>
      <c r="AN92" s="346"/>
      <c r="AO92" s="93"/>
      <c r="AP92" s="94"/>
      <c r="AQ92" s="94"/>
      <c r="AR92" s="330"/>
      <c r="AS92" s="347"/>
      <c r="AT92" s="92"/>
      <c r="AU92" s="94"/>
      <c r="AV92" s="95"/>
      <c r="AW92" s="95"/>
      <c r="AX92" s="95"/>
      <c r="AY92" s="94"/>
      <c r="AZ92" s="346"/>
      <c r="BA92" s="93"/>
      <c r="BB92" s="94"/>
      <c r="BC92" s="94"/>
      <c r="BD92" s="330"/>
      <c r="BE92" s="347"/>
      <c r="BF92" s="92"/>
      <c r="BG92" s="94"/>
      <c r="BH92" s="95"/>
      <c r="BI92" s="95"/>
      <c r="BJ92" s="95"/>
      <c r="BK92" s="94"/>
      <c r="BL92" s="346"/>
      <c r="BM92" s="93"/>
      <c r="BN92" s="94"/>
      <c r="BO92" s="94"/>
      <c r="BP92" s="330"/>
      <c r="BQ92" s="347"/>
      <c r="BR92" s="92"/>
      <c r="BS92" s="94"/>
      <c r="BT92" s="95"/>
      <c r="BU92" s="95"/>
      <c r="BV92" s="95"/>
      <c r="BW92" s="94"/>
      <c r="BX92" s="346"/>
      <c r="BY92" s="93"/>
      <c r="BZ92" s="94"/>
      <c r="CA92" s="94"/>
      <c r="CB92" s="330"/>
      <c r="CC92" s="347"/>
      <c r="CD92" s="92"/>
      <c r="CE92" s="94"/>
      <c r="CF92" s="95"/>
      <c r="CG92" s="95"/>
      <c r="CH92" s="95"/>
      <c r="CI92" s="94"/>
    </row>
    <row r="93" spans="1:87" x14ac:dyDescent="0.2">
      <c r="A93" s="8">
        <v>84</v>
      </c>
      <c r="B93" s="1125">
        <f>'Membership Record'!B94</f>
        <v>0</v>
      </c>
      <c r="C93" s="1125"/>
      <c r="D93" s="87">
        <f>'Membership Record'!G94+'Membership Record'!P94</f>
        <v>0</v>
      </c>
      <c r="E93" s="350">
        <f t="shared" si="13"/>
        <v>0</v>
      </c>
      <c r="F93" s="614">
        <f>'Membership Record'!H94+'Membership Record'!Q94</f>
        <v>0</v>
      </c>
      <c r="G93" s="615">
        <f t="shared" si="14"/>
        <v>0</v>
      </c>
      <c r="H93" s="614">
        <f>'Membership Record'!I94+'Membership Record'!R94</f>
        <v>0</v>
      </c>
      <c r="I93" s="616">
        <f t="shared" si="15"/>
        <v>0</v>
      </c>
      <c r="J93" s="614">
        <f>'Membership Record'!J94+'Membership Record'!S94</f>
        <v>0</v>
      </c>
      <c r="K93" s="618">
        <f t="shared" si="16"/>
        <v>0</v>
      </c>
      <c r="L93" s="618">
        <f>'Membership Record'!K94+'Membership Record'!T94</f>
        <v>0</v>
      </c>
      <c r="M93" s="615">
        <f t="shared" si="17"/>
        <v>0</v>
      </c>
      <c r="N93" s="614">
        <f>'Membership Record'!L94+'Membership Record'!U94</f>
        <v>0</v>
      </c>
      <c r="O93" s="619">
        <f t="shared" si="18"/>
        <v>0</v>
      </c>
      <c r="P93" s="346"/>
      <c r="Q93" s="93"/>
      <c r="R93" s="94"/>
      <c r="S93" s="94"/>
      <c r="T93" s="330"/>
      <c r="U93" s="347"/>
      <c r="V93" s="92"/>
      <c r="W93" s="94"/>
      <c r="X93" s="95"/>
      <c r="Y93" s="95"/>
      <c r="Z93" s="95"/>
      <c r="AA93" s="94"/>
      <c r="AB93" s="346"/>
      <c r="AC93" s="93"/>
      <c r="AD93" s="94"/>
      <c r="AE93" s="94"/>
      <c r="AF93" s="330"/>
      <c r="AG93" s="347"/>
      <c r="AH93" s="92"/>
      <c r="AI93" s="94"/>
      <c r="AJ93" s="95"/>
      <c r="AK93" s="95"/>
      <c r="AL93" s="95"/>
      <c r="AM93" s="94"/>
      <c r="AN93" s="346"/>
      <c r="AO93" s="93"/>
      <c r="AP93" s="94"/>
      <c r="AQ93" s="94"/>
      <c r="AR93" s="330"/>
      <c r="AS93" s="347"/>
      <c r="AT93" s="92"/>
      <c r="AU93" s="94"/>
      <c r="AV93" s="95"/>
      <c r="AW93" s="95"/>
      <c r="AX93" s="95"/>
      <c r="AY93" s="94"/>
      <c r="AZ93" s="346"/>
      <c r="BA93" s="93"/>
      <c r="BB93" s="94"/>
      <c r="BC93" s="94"/>
      <c r="BD93" s="330"/>
      <c r="BE93" s="347"/>
      <c r="BF93" s="92"/>
      <c r="BG93" s="94"/>
      <c r="BH93" s="95"/>
      <c r="BI93" s="95"/>
      <c r="BJ93" s="95"/>
      <c r="BK93" s="94"/>
      <c r="BL93" s="346"/>
      <c r="BM93" s="93"/>
      <c r="BN93" s="94"/>
      <c r="BO93" s="94"/>
      <c r="BP93" s="330"/>
      <c r="BQ93" s="347"/>
      <c r="BR93" s="92"/>
      <c r="BS93" s="94"/>
      <c r="BT93" s="95"/>
      <c r="BU93" s="95"/>
      <c r="BV93" s="95"/>
      <c r="BW93" s="94"/>
      <c r="BX93" s="346"/>
      <c r="BY93" s="93"/>
      <c r="BZ93" s="94"/>
      <c r="CA93" s="94"/>
      <c r="CB93" s="330"/>
      <c r="CC93" s="347"/>
      <c r="CD93" s="92"/>
      <c r="CE93" s="94"/>
      <c r="CF93" s="95"/>
      <c r="CG93" s="95"/>
      <c r="CH93" s="95"/>
      <c r="CI93" s="94"/>
    </row>
    <row r="94" spans="1:87" x14ac:dyDescent="0.2">
      <c r="A94" s="8">
        <v>85</v>
      </c>
      <c r="B94" s="1125">
        <f>'Membership Record'!B95</f>
        <v>0</v>
      </c>
      <c r="C94" s="1125"/>
      <c r="D94" s="87">
        <f>'Membership Record'!G95+'Membership Record'!P95</f>
        <v>0</v>
      </c>
      <c r="E94" s="350">
        <f t="shared" si="13"/>
        <v>0</v>
      </c>
      <c r="F94" s="614">
        <f>'Membership Record'!H95+'Membership Record'!Q95</f>
        <v>0</v>
      </c>
      <c r="G94" s="615">
        <f t="shared" si="14"/>
        <v>0</v>
      </c>
      <c r="H94" s="614">
        <f>'Membership Record'!I95+'Membership Record'!R95</f>
        <v>0</v>
      </c>
      <c r="I94" s="616">
        <f t="shared" si="15"/>
        <v>0</v>
      </c>
      <c r="J94" s="614">
        <f>'Membership Record'!J95+'Membership Record'!S95</f>
        <v>0</v>
      </c>
      <c r="K94" s="618">
        <f t="shared" si="16"/>
        <v>0</v>
      </c>
      <c r="L94" s="618">
        <f>'Membership Record'!K95+'Membership Record'!T95</f>
        <v>0</v>
      </c>
      <c r="M94" s="615">
        <f t="shared" si="17"/>
        <v>0</v>
      </c>
      <c r="N94" s="614">
        <f>'Membership Record'!L95+'Membership Record'!U95</f>
        <v>0</v>
      </c>
      <c r="O94" s="619">
        <f t="shared" si="18"/>
        <v>0</v>
      </c>
      <c r="P94" s="346"/>
      <c r="Q94" s="93"/>
      <c r="R94" s="94"/>
      <c r="S94" s="94"/>
      <c r="T94" s="330"/>
      <c r="U94" s="347"/>
      <c r="V94" s="92"/>
      <c r="W94" s="94"/>
      <c r="X94" s="95"/>
      <c r="Y94" s="95"/>
      <c r="Z94" s="95"/>
      <c r="AA94" s="94"/>
      <c r="AB94" s="346"/>
      <c r="AC94" s="93"/>
      <c r="AD94" s="94"/>
      <c r="AE94" s="94"/>
      <c r="AF94" s="330"/>
      <c r="AG94" s="347"/>
      <c r="AH94" s="92"/>
      <c r="AI94" s="94"/>
      <c r="AJ94" s="95"/>
      <c r="AK94" s="95"/>
      <c r="AL94" s="95"/>
      <c r="AM94" s="94"/>
      <c r="AN94" s="346"/>
      <c r="AO94" s="93"/>
      <c r="AP94" s="94"/>
      <c r="AQ94" s="94"/>
      <c r="AR94" s="330"/>
      <c r="AS94" s="347"/>
      <c r="AT94" s="92"/>
      <c r="AU94" s="94"/>
      <c r="AV94" s="95"/>
      <c r="AW94" s="95"/>
      <c r="AX94" s="95"/>
      <c r="AY94" s="94"/>
      <c r="AZ94" s="346"/>
      <c r="BA94" s="93"/>
      <c r="BB94" s="94"/>
      <c r="BC94" s="94"/>
      <c r="BD94" s="330"/>
      <c r="BE94" s="347"/>
      <c r="BF94" s="92"/>
      <c r="BG94" s="94"/>
      <c r="BH94" s="95"/>
      <c r="BI94" s="95"/>
      <c r="BJ94" s="95"/>
      <c r="BK94" s="94"/>
      <c r="BL94" s="346"/>
      <c r="BM94" s="93"/>
      <c r="BN94" s="94"/>
      <c r="BO94" s="94"/>
      <c r="BP94" s="330"/>
      <c r="BQ94" s="347"/>
      <c r="BR94" s="92"/>
      <c r="BS94" s="94"/>
      <c r="BT94" s="95"/>
      <c r="BU94" s="95"/>
      <c r="BV94" s="95"/>
      <c r="BW94" s="94"/>
      <c r="BX94" s="346"/>
      <c r="BY94" s="93"/>
      <c r="BZ94" s="94"/>
      <c r="CA94" s="94"/>
      <c r="CB94" s="330"/>
      <c r="CC94" s="347"/>
      <c r="CD94" s="92"/>
      <c r="CE94" s="94"/>
      <c r="CF94" s="95"/>
      <c r="CG94" s="95"/>
      <c r="CH94" s="95"/>
      <c r="CI94" s="94"/>
    </row>
    <row r="95" spans="1:87" x14ac:dyDescent="0.2">
      <c r="A95" s="8">
        <v>86</v>
      </c>
      <c r="B95" s="1125">
        <f>'Membership Record'!B96</f>
        <v>0</v>
      </c>
      <c r="C95" s="1125"/>
      <c r="D95" s="87">
        <f>'Membership Record'!G96+'Membership Record'!P96</f>
        <v>0</v>
      </c>
      <c r="E95" s="350">
        <f t="shared" si="13"/>
        <v>0</v>
      </c>
      <c r="F95" s="614">
        <f>'Membership Record'!H96+'Membership Record'!Q96</f>
        <v>0</v>
      </c>
      <c r="G95" s="615">
        <f t="shared" si="14"/>
        <v>0</v>
      </c>
      <c r="H95" s="614">
        <f>'Membership Record'!I96+'Membership Record'!R96</f>
        <v>0</v>
      </c>
      <c r="I95" s="616">
        <f t="shared" si="15"/>
        <v>0</v>
      </c>
      <c r="J95" s="614">
        <f>'Membership Record'!J96+'Membership Record'!S96</f>
        <v>0</v>
      </c>
      <c r="K95" s="618">
        <f t="shared" si="16"/>
        <v>0</v>
      </c>
      <c r="L95" s="618">
        <f>'Membership Record'!K96+'Membership Record'!T96</f>
        <v>0</v>
      </c>
      <c r="M95" s="615">
        <f t="shared" si="17"/>
        <v>0</v>
      </c>
      <c r="N95" s="614">
        <f>'Membership Record'!L96+'Membership Record'!U96</f>
        <v>0</v>
      </c>
      <c r="O95" s="619">
        <f t="shared" si="18"/>
        <v>0</v>
      </c>
      <c r="P95" s="346"/>
      <c r="Q95" s="93"/>
      <c r="R95" s="94"/>
      <c r="S95" s="94"/>
      <c r="T95" s="330"/>
      <c r="U95" s="347"/>
      <c r="V95" s="92"/>
      <c r="W95" s="94"/>
      <c r="X95" s="95"/>
      <c r="Y95" s="95"/>
      <c r="Z95" s="95"/>
      <c r="AA95" s="94"/>
      <c r="AB95" s="346"/>
      <c r="AC95" s="93"/>
      <c r="AD95" s="94"/>
      <c r="AE95" s="94"/>
      <c r="AF95" s="330"/>
      <c r="AG95" s="347"/>
      <c r="AH95" s="92"/>
      <c r="AI95" s="94"/>
      <c r="AJ95" s="95"/>
      <c r="AK95" s="95"/>
      <c r="AL95" s="95"/>
      <c r="AM95" s="94"/>
      <c r="AN95" s="346"/>
      <c r="AO95" s="93"/>
      <c r="AP95" s="94"/>
      <c r="AQ95" s="94"/>
      <c r="AR95" s="330"/>
      <c r="AS95" s="347"/>
      <c r="AT95" s="92"/>
      <c r="AU95" s="94"/>
      <c r="AV95" s="95"/>
      <c r="AW95" s="95"/>
      <c r="AX95" s="95"/>
      <c r="AY95" s="94"/>
      <c r="AZ95" s="346"/>
      <c r="BA95" s="93"/>
      <c r="BB95" s="94"/>
      <c r="BC95" s="94"/>
      <c r="BD95" s="330"/>
      <c r="BE95" s="347"/>
      <c r="BF95" s="92"/>
      <c r="BG95" s="94"/>
      <c r="BH95" s="95"/>
      <c r="BI95" s="95"/>
      <c r="BJ95" s="95"/>
      <c r="BK95" s="94"/>
      <c r="BL95" s="346"/>
      <c r="BM95" s="93"/>
      <c r="BN95" s="94"/>
      <c r="BO95" s="94"/>
      <c r="BP95" s="330"/>
      <c r="BQ95" s="347"/>
      <c r="BR95" s="92"/>
      <c r="BS95" s="94"/>
      <c r="BT95" s="95"/>
      <c r="BU95" s="95"/>
      <c r="BV95" s="95"/>
      <c r="BW95" s="94"/>
      <c r="BX95" s="346"/>
      <c r="BY95" s="93"/>
      <c r="BZ95" s="94"/>
      <c r="CA95" s="94"/>
      <c r="CB95" s="330"/>
      <c r="CC95" s="347"/>
      <c r="CD95" s="92"/>
      <c r="CE95" s="94"/>
      <c r="CF95" s="95"/>
      <c r="CG95" s="95"/>
      <c r="CH95" s="95"/>
      <c r="CI95" s="94"/>
    </row>
    <row r="96" spans="1:87" x14ac:dyDescent="0.2">
      <c r="A96" s="8">
        <v>87</v>
      </c>
      <c r="B96" s="1125">
        <f>'Membership Record'!B97</f>
        <v>0</v>
      </c>
      <c r="C96" s="1125"/>
      <c r="D96" s="87">
        <f>'Membership Record'!G97+'Membership Record'!P97</f>
        <v>0</v>
      </c>
      <c r="E96" s="350">
        <f t="shared" si="13"/>
        <v>0</v>
      </c>
      <c r="F96" s="614">
        <f>'Membership Record'!H97+'Membership Record'!Q97</f>
        <v>0</v>
      </c>
      <c r="G96" s="615">
        <f t="shared" si="14"/>
        <v>0</v>
      </c>
      <c r="H96" s="614">
        <f>'Membership Record'!I97+'Membership Record'!R97</f>
        <v>0</v>
      </c>
      <c r="I96" s="616">
        <f t="shared" si="15"/>
        <v>0</v>
      </c>
      <c r="J96" s="614">
        <f>'Membership Record'!J97+'Membership Record'!S97</f>
        <v>0</v>
      </c>
      <c r="K96" s="618">
        <f t="shared" si="16"/>
        <v>0</v>
      </c>
      <c r="L96" s="618">
        <f>'Membership Record'!K97+'Membership Record'!T97</f>
        <v>0</v>
      </c>
      <c r="M96" s="615">
        <f t="shared" si="17"/>
        <v>0</v>
      </c>
      <c r="N96" s="614">
        <f>'Membership Record'!L97+'Membership Record'!U97</f>
        <v>0</v>
      </c>
      <c r="O96" s="619">
        <f t="shared" si="18"/>
        <v>0</v>
      </c>
      <c r="P96" s="346"/>
      <c r="Q96" s="93"/>
      <c r="R96" s="94"/>
      <c r="S96" s="94"/>
      <c r="T96" s="330"/>
      <c r="U96" s="347"/>
      <c r="V96" s="92"/>
      <c r="W96" s="94"/>
      <c r="X96" s="95"/>
      <c r="Y96" s="95"/>
      <c r="Z96" s="95"/>
      <c r="AA96" s="94"/>
      <c r="AB96" s="346"/>
      <c r="AC96" s="93"/>
      <c r="AD96" s="94"/>
      <c r="AE96" s="94"/>
      <c r="AF96" s="330"/>
      <c r="AG96" s="347"/>
      <c r="AH96" s="92"/>
      <c r="AI96" s="94"/>
      <c r="AJ96" s="95"/>
      <c r="AK96" s="95"/>
      <c r="AL96" s="95"/>
      <c r="AM96" s="94"/>
      <c r="AN96" s="346"/>
      <c r="AO96" s="93"/>
      <c r="AP96" s="94"/>
      <c r="AQ96" s="94"/>
      <c r="AR96" s="330"/>
      <c r="AS96" s="347"/>
      <c r="AT96" s="92"/>
      <c r="AU96" s="94"/>
      <c r="AV96" s="95"/>
      <c r="AW96" s="95"/>
      <c r="AX96" s="95"/>
      <c r="AY96" s="94"/>
      <c r="AZ96" s="346"/>
      <c r="BA96" s="93"/>
      <c r="BB96" s="94"/>
      <c r="BC96" s="94"/>
      <c r="BD96" s="330"/>
      <c r="BE96" s="347"/>
      <c r="BF96" s="92"/>
      <c r="BG96" s="94"/>
      <c r="BH96" s="95"/>
      <c r="BI96" s="95"/>
      <c r="BJ96" s="95"/>
      <c r="BK96" s="94"/>
      <c r="BL96" s="346"/>
      <c r="BM96" s="93"/>
      <c r="BN96" s="94"/>
      <c r="BO96" s="94"/>
      <c r="BP96" s="330"/>
      <c r="BQ96" s="347"/>
      <c r="BR96" s="92"/>
      <c r="BS96" s="94"/>
      <c r="BT96" s="95"/>
      <c r="BU96" s="95"/>
      <c r="BV96" s="95"/>
      <c r="BW96" s="94"/>
      <c r="BX96" s="346"/>
      <c r="BY96" s="93"/>
      <c r="BZ96" s="94"/>
      <c r="CA96" s="94"/>
      <c r="CB96" s="330"/>
      <c r="CC96" s="347"/>
      <c r="CD96" s="92"/>
      <c r="CE96" s="94"/>
      <c r="CF96" s="95"/>
      <c r="CG96" s="95"/>
      <c r="CH96" s="95"/>
      <c r="CI96" s="94"/>
    </row>
    <row r="97" spans="1:87" x14ac:dyDescent="0.2">
      <c r="A97" s="8">
        <v>88</v>
      </c>
      <c r="B97" s="1125">
        <f>'Membership Record'!B98</f>
        <v>0</v>
      </c>
      <c r="C97" s="1125"/>
      <c r="D97" s="87">
        <f>'Membership Record'!G98+'Membership Record'!P98</f>
        <v>0</v>
      </c>
      <c r="E97" s="350">
        <f t="shared" si="13"/>
        <v>0</v>
      </c>
      <c r="F97" s="614">
        <f>'Membership Record'!H98+'Membership Record'!Q98</f>
        <v>0</v>
      </c>
      <c r="G97" s="615">
        <f t="shared" si="14"/>
        <v>0</v>
      </c>
      <c r="H97" s="614">
        <f>'Membership Record'!I98+'Membership Record'!R98</f>
        <v>0</v>
      </c>
      <c r="I97" s="616">
        <f t="shared" si="15"/>
        <v>0</v>
      </c>
      <c r="J97" s="614">
        <f>'Membership Record'!J98+'Membership Record'!S98</f>
        <v>0</v>
      </c>
      <c r="K97" s="618">
        <f t="shared" si="16"/>
        <v>0</v>
      </c>
      <c r="L97" s="618">
        <f>'Membership Record'!K98+'Membership Record'!T98</f>
        <v>0</v>
      </c>
      <c r="M97" s="615">
        <f t="shared" si="17"/>
        <v>0</v>
      </c>
      <c r="N97" s="614">
        <f>'Membership Record'!L98+'Membership Record'!U98</f>
        <v>0</v>
      </c>
      <c r="O97" s="619">
        <f t="shared" si="18"/>
        <v>0</v>
      </c>
      <c r="P97" s="346"/>
      <c r="Q97" s="93"/>
      <c r="R97" s="94"/>
      <c r="S97" s="94"/>
      <c r="T97" s="330"/>
      <c r="U97" s="347"/>
      <c r="V97" s="92"/>
      <c r="W97" s="94"/>
      <c r="X97" s="95"/>
      <c r="Y97" s="95"/>
      <c r="Z97" s="95"/>
      <c r="AA97" s="94"/>
      <c r="AB97" s="346"/>
      <c r="AC97" s="93"/>
      <c r="AD97" s="94"/>
      <c r="AE97" s="94"/>
      <c r="AF97" s="330"/>
      <c r="AG97" s="347"/>
      <c r="AH97" s="92"/>
      <c r="AI97" s="94"/>
      <c r="AJ97" s="95"/>
      <c r="AK97" s="95"/>
      <c r="AL97" s="95"/>
      <c r="AM97" s="94"/>
      <c r="AN97" s="346"/>
      <c r="AO97" s="93"/>
      <c r="AP97" s="94"/>
      <c r="AQ97" s="94"/>
      <c r="AR97" s="330"/>
      <c r="AS97" s="347"/>
      <c r="AT97" s="92"/>
      <c r="AU97" s="94"/>
      <c r="AV97" s="95"/>
      <c r="AW97" s="95"/>
      <c r="AX97" s="95"/>
      <c r="AY97" s="94"/>
      <c r="AZ97" s="346"/>
      <c r="BA97" s="93"/>
      <c r="BB97" s="94"/>
      <c r="BC97" s="94"/>
      <c r="BD97" s="330"/>
      <c r="BE97" s="347"/>
      <c r="BF97" s="92"/>
      <c r="BG97" s="94"/>
      <c r="BH97" s="95"/>
      <c r="BI97" s="95"/>
      <c r="BJ97" s="95"/>
      <c r="BK97" s="94"/>
      <c r="BL97" s="346"/>
      <c r="BM97" s="93"/>
      <c r="BN97" s="94"/>
      <c r="BO97" s="94"/>
      <c r="BP97" s="330"/>
      <c r="BQ97" s="347"/>
      <c r="BR97" s="92"/>
      <c r="BS97" s="94"/>
      <c r="BT97" s="95"/>
      <c r="BU97" s="95"/>
      <c r="BV97" s="95"/>
      <c r="BW97" s="94"/>
      <c r="BX97" s="346"/>
      <c r="BY97" s="93"/>
      <c r="BZ97" s="94"/>
      <c r="CA97" s="94"/>
      <c r="CB97" s="330"/>
      <c r="CC97" s="347"/>
      <c r="CD97" s="92"/>
      <c r="CE97" s="94"/>
      <c r="CF97" s="95"/>
      <c r="CG97" s="95"/>
      <c r="CH97" s="95"/>
      <c r="CI97" s="94"/>
    </row>
    <row r="98" spans="1:87" x14ac:dyDescent="0.2">
      <c r="A98" s="8">
        <v>89</v>
      </c>
      <c r="B98" s="1125">
        <f>'Membership Record'!B99</f>
        <v>0</v>
      </c>
      <c r="C98" s="1125"/>
      <c r="D98" s="87">
        <f>'Membership Record'!G99+'Membership Record'!P99</f>
        <v>0</v>
      </c>
      <c r="E98" s="350">
        <f t="shared" si="13"/>
        <v>0</v>
      </c>
      <c r="F98" s="614">
        <f>'Membership Record'!H99+'Membership Record'!Q99</f>
        <v>0</v>
      </c>
      <c r="G98" s="615">
        <f t="shared" si="14"/>
        <v>0</v>
      </c>
      <c r="H98" s="614">
        <f>'Membership Record'!I99+'Membership Record'!R99</f>
        <v>0</v>
      </c>
      <c r="I98" s="616">
        <f t="shared" si="15"/>
        <v>0</v>
      </c>
      <c r="J98" s="614">
        <f>'Membership Record'!J99+'Membership Record'!S99</f>
        <v>0</v>
      </c>
      <c r="K98" s="618">
        <f t="shared" si="16"/>
        <v>0</v>
      </c>
      <c r="L98" s="618">
        <f>'Membership Record'!K99+'Membership Record'!T99</f>
        <v>0</v>
      </c>
      <c r="M98" s="615">
        <f t="shared" si="17"/>
        <v>0</v>
      </c>
      <c r="N98" s="614">
        <f>'Membership Record'!L99+'Membership Record'!U99</f>
        <v>0</v>
      </c>
      <c r="O98" s="619">
        <f t="shared" si="18"/>
        <v>0</v>
      </c>
      <c r="P98" s="346"/>
      <c r="Q98" s="93"/>
      <c r="R98" s="94"/>
      <c r="S98" s="94"/>
      <c r="T98" s="330"/>
      <c r="U98" s="347"/>
      <c r="V98" s="92"/>
      <c r="W98" s="94"/>
      <c r="X98" s="95"/>
      <c r="Y98" s="95"/>
      <c r="Z98" s="95"/>
      <c r="AA98" s="94"/>
      <c r="AB98" s="346"/>
      <c r="AC98" s="93"/>
      <c r="AD98" s="94"/>
      <c r="AE98" s="94"/>
      <c r="AF98" s="330"/>
      <c r="AG98" s="347"/>
      <c r="AH98" s="92"/>
      <c r="AI98" s="94"/>
      <c r="AJ98" s="95"/>
      <c r="AK98" s="95"/>
      <c r="AL98" s="95"/>
      <c r="AM98" s="94"/>
      <c r="AN98" s="346"/>
      <c r="AO98" s="93"/>
      <c r="AP98" s="94"/>
      <c r="AQ98" s="94"/>
      <c r="AR98" s="330"/>
      <c r="AS98" s="347"/>
      <c r="AT98" s="92"/>
      <c r="AU98" s="94"/>
      <c r="AV98" s="95"/>
      <c r="AW98" s="95"/>
      <c r="AX98" s="95"/>
      <c r="AY98" s="94"/>
      <c r="AZ98" s="346"/>
      <c r="BA98" s="93"/>
      <c r="BB98" s="94"/>
      <c r="BC98" s="94"/>
      <c r="BD98" s="330"/>
      <c r="BE98" s="347"/>
      <c r="BF98" s="92"/>
      <c r="BG98" s="94"/>
      <c r="BH98" s="95"/>
      <c r="BI98" s="95"/>
      <c r="BJ98" s="95"/>
      <c r="BK98" s="94"/>
      <c r="BL98" s="346"/>
      <c r="BM98" s="93"/>
      <c r="BN98" s="94"/>
      <c r="BO98" s="94"/>
      <c r="BP98" s="330"/>
      <c r="BQ98" s="347"/>
      <c r="BR98" s="92"/>
      <c r="BS98" s="94"/>
      <c r="BT98" s="95"/>
      <c r="BU98" s="95"/>
      <c r="BV98" s="95"/>
      <c r="BW98" s="94"/>
      <c r="BX98" s="346"/>
      <c r="BY98" s="93"/>
      <c r="BZ98" s="94"/>
      <c r="CA98" s="94"/>
      <c r="CB98" s="330"/>
      <c r="CC98" s="347"/>
      <c r="CD98" s="92"/>
      <c r="CE98" s="94"/>
      <c r="CF98" s="95"/>
      <c r="CG98" s="95"/>
      <c r="CH98" s="95"/>
      <c r="CI98" s="94"/>
    </row>
    <row r="99" spans="1:87" x14ac:dyDescent="0.2">
      <c r="A99" s="8">
        <v>90</v>
      </c>
      <c r="B99" s="1125">
        <f>'Membership Record'!B100</f>
        <v>0</v>
      </c>
      <c r="C99" s="1125"/>
      <c r="D99" s="87">
        <f>'Membership Record'!G100+'Membership Record'!P100</f>
        <v>0</v>
      </c>
      <c r="E99" s="350">
        <f t="shared" si="13"/>
        <v>0</v>
      </c>
      <c r="F99" s="614">
        <f>'Membership Record'!H100+'Membership Record'!Q100</f>
        <v>0</v>
      </c>
      <c r="G99" s="615">
        <f t="shared" si="14"/>
        <v>0</v>
      </c>
      <c r="H99" s="614">
        <f>'Membership Record'!I100+'Membership Record'!R100</f>
        <v>0</v>
      </c>
      <c r="I99" s="616">
        <f t="shared" si="15"/>
        <v>0</v>
      </c>
      <c r="J99" s="614">
        <f>'Membership Record'!J100+'Membership Record'!S100</f>
        <v>0</v>
      </c>
      <c r="K99" s="618">
        <f t="shared" si="16"/>
        <v>0</v>
      </c>
      <c r="L99" s="618">
        <f>'Membership Record'!K100+'Membership Record'!T100</f>
        <v>0</v>
      </c>
      <c r="M99" s="615">
        <f t="shared" si="17"/>
        <v>0</v>
      </c>
      <c r="N99" s="614">
        <f>'Membership Record'!L100+'Membership Record'!U100</f>
        <v>0</v>
      </c>
      <c r="O99" s="619">
        <f t="shared" si="18"/>
        <v>0</v>
      </c>
      <c r="P99" s="346"/>
      <c r="Q99" s="93"/>
      <c r="R99" s="94"/>
      <c r="S99" s="94"/>
      <c r="T99" s="330"/>
      <c r="U99" s="347"/>
      <c r="V99" s="92"/>
      <c r="W99" s="94"/>
      <c r="X99" s="95"/>
      <c r="Y99" s="95"/>
      <c r="Z99" s="95"/>
      <c r="AA99" s="94"/>
      <c r="AB99" s="346"/>
      <c r="AC99" s="93"/>
      <c r="AD99" s="94"/>
      <c r="AE99" s="94"/>
      <c r="AF99" s="330"/>
      <c r="AG99" s="347"/>
      <c r="AH99" s="92"/>
      <c r="AI99" s="94"/>
      <c r="AJ99" s="95"/>
      <c r="AK99" s="95"/>
      <c r="AL99" s="95"/>
      <c r="AM99" s="94"/>
      <c r="AN99" s="346"/>
      <c r="AO99" s="93"/>
      <c r="AP99" s="94"/>
      <c r="AQ99" s="94"/>
      <c r="AR99" s="330"/>
      <c r="AS99" s="347"/>
      <c r="AT99" s="92"/>
      <c r="AU99" s="94"/>
      <c r="AV99" s="95"/>
      <c r="AW99" s="95"/>
      <c r="AX99" s="95"/>
      <c r="AY99" s="94"/>
      <c r="AZ99" s="346"/>
      <c r="BA99" s="93"/>
      <c r="BB99" s="94"/>
      <c r="BC99" s="94"/>
      <c r="BD99" s="330"/>
      <c r="BE99" s="347"/>
      <c r="BF99" s="92"/>
      <c r="BG99" s="94"/>
      <c r="BH99" s="95"/>
      <c r="BI99" s="95"/>
      <c r="BJ99" s="95"/>
      <c r="BK99" s="94"/>
      <c r="BL99" s="346"/>
      <c r="BM99" s="93"/>
      <c r="BN99" s="94"/>
      <c r="BO99" s="94"/>
      <c r="BP99" s="330"/>
      <c r="BQ99" s="347"/>
      <c r="BR99" s="92"/>
      <c r="BS99" s="94"/>
      <c r="BT99" s="95"/>
      <c r="BU99" s="95"/>
      <c r="BV99" s="95"/>
      <c r="BW99" s="94"/>
      <c r="BX99" s="346"/>
      <c r="BY99" s="93"/>
      <c r="BZ99" s="94"/>
      <c r="CA99" s="94"/>
      <c r="CB99" s="330"/>
      <c r="CC99" s="347"/>
      <c r="CD99" s="92"/>
      <c r="CE99" s="94"/>
      <c r="CF99" s="95"/>
      <c r="CG99" s="95"/>
      <c r="CH99" s="95"/>
      <c r="CI99" s="94"/>
    </row>
    <row r="100" spans="1:87" x14ac:dyDescent="0.2">
      <c r="A100" s="8">
        <v>91</v>
      </c>
      <c r="B100" s="1125">
        <f>'Membership Record'!B101</f>
        <v>0</v>
      </c>
      <c r="C100" s="1125"/>
      <c r="D100" s="87">
        <f>'Membership Record'!G101+'Membership Record'!P101</f>
        <v>0</v>
      </c>
      <c r="E100" s="350">
        <f t="shared" si="13"/>
        <v>0</v>
      </c>
      <c r="F100" s="614">
        <f>'Membership Record'!H101+'Membership Record'!Q101</f>
        <v>0</v>
      </c>
      <c r="G100" s="615">
        <f t="shared" si="14"/>
        <v>0</v>
      </c>
      <c r="H100" s="614">
        <f>'Membership Record'!I101+'Membership Record'!R101</f>
        <v>0</v>
      </c>
      <c r="I100" s="616">
        <f t="shared" si="15"/>
        <v>0</v>
      </c>
      <c r="J100" s="614">
        <f>'Membership Record'!J101+'Membership Record'!S101</f>
        <v>0</v>
      </c>
      <c r="K100" s="618">
        <f t="shared" si="16"/>
        <v>0</v>
      </c>
      <c r="L100" s="618">
        <f>'Membership Record'!K101+'Membership Record'!T101</f>
        <v>0</v>
      </c>
      <c r="M100" s="615">
        <f t="shared" si="17"/>
        <v>0</v>
      </c>
      <c r="N100" s="614">
        <f>'Membership Record'!L101+'Membership Record'!U101</f>
        <v>0</v>
      </c>
      <c r="O100" s="619">
        <f t="shared" si="18"/>
        <v>0</v>
      </c>
      <c r="P100" s="346"/>
      <c r="Q100" s="93"/>
      <c r="R100" s="94"/>
      <c r="S100" s="94"/>
      <c r="T100" s="330"/>
      <c r="U100" s="347"/>
      <c r="V100" s="92"/>
      <c r="W100" s="94"/>
      <c r="X100" s="95"/>
      <c r="Y100" s="95"/>
      <c r="Z100" s="95"/>
      <c r="AA100" s="94"/>
      <c r="AB100" s="346"/>
      <c r="AC100" s="93"/>
      <c r="AD100" s="94"/>
      <c r="AE100" s="94"/>
      <c r="AF100" s="330"/>
      <c r="AG100" s="347"/>
      <c r="AH100" s="92"/>
      <c r="AI100" s="94"/>
      <c r="AJ100" s="95"/>
      <c r="AK100" s="95"/>
      <c r="AL100" s="95"/>
      <c r="AM100" s="94"/>
      <c r="AN100" s="346"/>
      <c r="AO100" s="93"/>
      <c r="AP100" s="94"/>
      <c r="AQ100" s="94"/>
      <c r="AR100" s="330"/>
      <c r="AS100" s="347"/>
      <c r="AT100" s="92"/>
      <c r="AU100" s="94"/>
      <c r="AV100" s="95"/>
      <c r="AW100" s="95"/>
      <c r="AX100" s="95"/>
      <c r="AY100" s="94"/>
      <c r="AZ100" s="346"/>
      <c r="BA100" s="93"/>
      <c r="BB100" s="94"/>
      <c r="BC100" s="94"/>
      <c r="BD100" s="330"/>
      <c r="BE100" s="347"/>
      <c r="BF100" s="92"/>
      <c r="BG100" s="94"/>
      <c r="BH100" s="95"/>
      <c r="BI100" s="95"/>
      <c r="BJ100" s="95"/>
      <c r="BK100" s="94"/>
      <c r="BL100" s="346"/>
      <c r="BM100" s="93"/>
      <c r="BN100" s="94"/>
      <c r="BO100" s="94"/>
      <c r="BP100" s="330"/>
      <c r="BQ100" s="347"/>
      <c r="BR100" s="92"/>
      <c r="BS100" s="94"/>
      <c r="BT100" s="95"/>
      <c r="BU100" s="95"/>
      <c r="BV100" s="95"/>
      <c r="BW100" s="94"/>
      <c r="BX100" s="346"/>
      <c r="BY100" s="93"/>
      <c r="BZ100" s="94"/>
      <c r="CA100" s="94"/>
      <c r="CB100" s="330"/>
      <c r="CC100" s="347"/>
      <c r="CD100" s="92"/>
      <c r="CE100" s="94"/>
      <c r="CF100" s="95"/>
      <c r="CG100" s="95"/>
      <c r="CH100" s="95"/>
      <c r="CI100" s="94"/>
    </row>
    <row r="101" spans="1:87" x14ac:dyDescent="0.2">
      <c r="A101" s="8">
        <v>92</v>
      </c>
      <c r="B101" s="1125">
        <f>'Membership Record'!B102</f>
        <v>0</v>
      </c>
      <c r="C101" s="1125"/>
      <c r="D101" s="87">
        <f>'Membership Record'!G102+'Membership Record'!P102</f>
        <v>0</v>
      </c>
      <c r="E101" s="350">
        <f t="shared" si="13"/>
        <v>0</v>
      </c>
      <c r="F101" s="614">
        <f>'Membership Record'!H102+'Membership Record'!Q102</f>
        <v>0</v>
      </c>
      <c r="G101" s="615">
        <f t="shared" si="14"/>
        <v>0</v>
      </c>
      <c r="H101" s="614">
        <f>'Membership Record'!I102+'Membership Record'!R102</f>
        <v>0</v>
      </c>
      <c r="I101" s="616">
        <f t="shared" si="15"/>
        <v>0</v>
      </c>
      <c r="J101" s="614">
        <f>'Membership Record'!J102+'Membership Record'!S102</f>
        <v>0</v>
      </c>
      <c r="K101" s="618">
        <f t="shared" si="16"/>
        <v>0</v>
      </c>
      <c r="L101" s="618">
        <f>'Membership Record'!K102+'Membership Record'!T102</f>
        <v>0</v>
      </c>
      <c r="M101" s="615">
        <f t="shared" si="17"/>
        <v>0</v>
      </c>
      <c r="N101" s="614">
        <f>'Membership Record'!L102+'Membership Record'!U102</f>
        <v>0</v>
      </c>
      <c r="O101" s="619">
        <f t="shared" si="18"/>
        <v>0</v>
      </c>
      <c r="P101" s="346"/>
      <c r="Q101" s="93"/>
      <c r="R101" s="94"/>
      <c r="S101" s="94"/>
      <c r="T101" s="330"/>
      <c r="U101" s="347"/>
      <c r="V101" s="92"/>
      <c r="W101" s="94"/>
      <c r="X101" s="95"/>
      <c r="Y101" s="95"/>
      <c r="Z101" s="95"/>
      <c r="AA101" s="94"/>
      <c r="AB101" s="346"/>
      <c r="AC101" s="93"/>
      <c r="AD101" s="94"/>
      <c r="AE101" s="94"/>
      <c r="AF101" s="330"/>
      <c r="AG101" s="347"/>
      <c r="AH101" s="92"/>
      <c r="AI101" s="94"/>
      <c r="AJ101" s="95"/>
      <c r="AK101" s="95"/>
      <c r="AL101" s="95"/>
      <c r="AM101" s="94"/>
      <c r="AN101" s="346"/>
      <c r="AO101" s="93"/>
      <c r="AP101" s="94"/>
      <c r="AQ101" s="94"/>
      <c r="AR101" s="330"/>
      <c r="AS101" s="347"/>
      <c r="AT101" s="92"/>
      <c r="AU101" s="94"/>
      <c r="AV101" s="95"/>
      <c r="AW101" s="95"/>
      <c r="AX101" s="95"/>
      <c r="AY101" s="94"/>
      <c r="AZ101" s="346"/>
      <c r="BA101" s="93"/>
      <c r="BB101" s="94"/>
      <c r="BC101" s="94"/>
      <c r="BD101" s="330"/>
      <c r="BE101" s="347"/>
      <c r="BF101" s="92"/>
      <c r="BG101" s="94"/>
      <c r="BH101" s="95"/>
      <c r="BI101" s="95"/>
      <c r="BJ101" s="95"/>
      <c r="BK101" s="94"/>
      <c r="BL101" s="346"/>
      <c r="BM101" s="93"/>
      <c r="BN101" s="94"/>
      <c r="BO101" s="94"/>
      <c r="BP101" s="330"/>
      <c r="BQ101" s="347"/>
      <c r="BR101" s="92"/>
      <c r="BS101" s="94"/>
      <c r="BT101" s="95"/>
      <c r="BU101" s="95"/>
      <c r="BV101" s="95"/>
      <c r="BW101" s="94"/>
      <c r="BX101" s="346"/>
      <c r="BY101" s="93"/>
      <c r="BZ101" s="94"/>
      <c r="CA101" s="94"/>
      <c r="CB101" s="330"/>
      <c r="CC101" s="347"/>
      <c r="CD101" s="92"/>
      <c r="CE101" s="94"/>
      <c r="CF101" s="95"/>
      <c r="CG101" s="95"/>
      <c r="CH101" s="95"/>
      <c r="CI101" s="94"/>
    </row>
    <row r="102" spans="1:87" x14ac:dyDescent="0.2">
      <c r="A102" s="8">
        <v>93</v>
      </c>
      <c r="B102" s="1125">
        <f>'Membership Record'!B103</f>
        <v>0</v>
      </c>
      <c r="C102" s="1125"/>
      <c r="D102" s="87">
        <f>'Membership Record'!G103+'Membership Record'!P103</f>
        <v>0</v>
      </c>
      <c r="E102" s="350">
        <f t="shared" si="13"/>
        <v>0</v>
      </c>
      <c r="F102" s="614">
        <f>'Membership Record'!H103+'Membership Record'!Q103</f>
        <v>0</v>
      </c>
      <c r="G102" s="615">
        <f t="shared" si="14"/>
        <v>0</v>
      </c>
      <c r="H102" s="614">
        <f>'Membership Record'!I103+'Membership Record'!R103</f>
        <v>0</v>
      </c>
      <c r="I102" s="616">
        <f t="shared" si="15"/>
        <v>0</v>
      </c>
      <c r="J102" s="614">
        <f>'Membership Record'!J103+'Membership Record'!S103</f>
        <v>0</v>
      </c>
      <c r="K102" s="618">
        <f t="shared" si="16"/>
        <v>0</v>
      </c>
      <c r="L102" s="618">
        <f>'Membership Record'!K103+'Membership Record'!T103</f>
        <v>0</v>
      </c>
      <c r="M102" s="615">
        <f t="shared" si="17"/>
        <v>0</v>
      </c>
      <c r="N102" s="614">
        <f>'Membership Record'!L103+'Membership Record'!U103</f>
        <v>0</v>
      </c>
      <c r="O102" s="619">
        <f t="shared" si="18"/>
        <v>0</v>
      </c>
      <c r="P102" s="346"/>
      <c r="Q102" s="93"/>
      <c r="R102" s="94"/>
      <c r="S102" s="94"/>
      <c r="T102" s="330"/>
      <c r="U102" s="347"/>
      <c r="V102" s="92"/>
      <c r="W102" s="94"/>
      <c r="X102" s="95"/>
      <c r="Y102" s="95"/>
      <c r="Z102" s="95"/>
      <c r="AA102" s="94"/>
      <c r="AB102" s="346"/>
      <c r="AC102" s="93"/>
      <c r="AD102" s="94"/>
      <c r="AE102" s="94"/>
      <c r="AF102" s="330"/>
      <c r="AG102" s="347"/>
      <c r="AH102" s="92"/>
      <c r="AI102" s="94"/>
      <c r="AJ102" s="95"/>
      <c r="AK102" s="95"/>
      <c r="AL102" s="95"/>
      <c r="AM102" s="94"/>
      <c r="AN102" s="346"/>
      <c r="AO102" s="93"/>
      <c r="AP102" s="94"/>
      <c r="AQ102" s="94"/>
      <c r="AR102" s="330"/>
      <c r="AS102" s="347"/>
      <c r="AT102" s="92"/>
      <c r="AU102" s="94"/>
      <c r="AV102" s="95"/>
      <c r="AW102" s="95"/>
      <c r="AX102" s="95"/>
      <c r="AY102" s="94"/>
      <c r="AZ102" s="346"/>
      <c r="BA102" s="93"/>
      <c r="BB102" s="94"/>
      <c r="BC102" s="94"/>
      <c r="BD102" s="330"/>
      <c r="BE102" s="347"/>
      <c r="BF102" s="92"/>
      <c r="BG102" s="94"/>
      <c r="BH102" s="95"/>
      <c r="BI102" s="95"/>
      <c r="BJ102" s="95"/>
      <c r="BK102" s="94"/>
      <c r="BL102" s="346"/>
      <c r="BM102" s="93"/>
      <c r="BN102" s="94"/>
      <c r="BO102" s="94"/>
      <c r="BP102" s="330"/>
      <c r="BQ102" s="347"/>
      <c r="BR102" s="92"/>
      <c r="BS102" s="94"/>
      <c r="BT102" s="95"/>
      <c r="BU102" s="95"/>
      <c r="BV102" s="95"/>
      <c r="BW102" s="94"/>
      <c r="BX102" s="346"/>
      <c r="BY102" s="93"/>
      <c r="BZ102" s="94"/>
      <c r="CA102" s="94"/>
      <c r="CB102" s="330"/>
      <c r="CC102" s="347"/>
      <c r="CD102" s="92"/>
      <c r="CE102" s="94"/>
      <c r="CF102" s="95"/>
      <c r="CG102" s="95"/>
      <c r="CH102" s="95"/>
      <c r="CI102" s="94"/>
    </row>
    <row r="103" spans="1:87" x14ac:dyDescent="0.2">
      <c r="A103" s="8">
        <v>94</v>
      </c>
      <c r="B103" s="1125">
        <f>'Membership Record'!B104</f>
        <v>0</v>
      </c>
      <c r="C103" s="1125"/>
      <c r="D103" s="87">
        <f>'Membership Record'!G104+'Membership Record'!P104</f>
        <v>0</v>
      </c>
      <c r="E103" s="350">
        <f t="shared" si="13"/>
        <v>0</v>
      </c>
      <c r="F103" s="614">
        <f>'Membership Record'!H104+'Membership Record'!Q104</f>
        <v>0</v>
      </c>
      <c r="G103" s="615">
        <f t="shared" si="14"/>
        <v>0</v>
      </c>
      <c r="H103" s="614">
        <f>'Membership Record'!I104+'Membership Record'!R104</f>
        <v>0</v>
      </c>
      <c r="I103" s="616">
        <f t="shared" si="15"/>
        <v>0</v>
      </c>
      <c r="J103" s="614">
        <f>'Membership Record'!J104+'Membership Record'!S104</f>
        <v>0</v>
      </c>
      <c r="K103" s="618">
        <f t="shared" si="16"/>
        <v>0</v>
      </c>
      <c r="L103" s="618">
        <f>'Membership Record'!K104+'Membership Record'!T104</f>
        <v>0</v>
      </c>
      <c r="M103" s="615">
        <f t="shared" si="17"/>
        <v>0</v>
      </c>
      <c r="N103" s="614">
        <f>'Membership Record'!L104+'Membership Record'!U104</f>
        <v>0</v>
      </c>
      <c r="O103" s="619">
        <f t="shared" si="18"/>
        <v>0</v>
      </c>
      <c r="P103" s="346"/>
      <c r="Q103" s="93"/>
      <c r="R103" s="94"/>
      <c r="S103" s="94"/>
      <c r="T103" s="330"/>
      <c r="U103" s="347"/>
      <c r="V103" s="92"/>
      <c r="W103" s="94"/>
      <c r="X103" s="95"/>
      <c r="Y103" s="95"/>
      <c r="Z103" s="95"/>
      <c r="AA103" s="94"/>
      <c r="AB103" s="346"/>
      <c r="AC103" s="93"/>
      <c r="AD103" s="94"/>
      <c r="AE103" s="94"/>
      <c r="AF103" s="330"/>
      <c r="AG103" s="347"/>
      <c r="AH103" s="92"/>
      <c r="AI103" s="94"/>
      <c r="AJ103" s="95"/>
      <c r="AK103" s="95"/>
      <c r="AL103" s="95"/>
      <c r="AM103" s="94"/>
      <c r="AN103" s="346"/>
      <c r="AO103" s="93"/>
      <c r="AP103" s="94"/>
      <c r="AQ103" s="94"/>
      <c r="AR103" s="330"/>
      <c r="AS103" s="347"/>
      <c r="AT103" s="92"/>
      <c r="AU103" s="94"/>
      <c r="AV103" s="95"/>
      <c r="AW103" s="95"/>
      <c r="AX103" s="95"/>
      <c r="AY103" s="94"/>
      <c r="AZ103" s="346"/>
      <c r="BA103" s="93"/>
      <c r="BB103" s="94"/>
      <c r="BC103" s="94"/>
      <c r="BD103" s="330"/>
      <c r="BE103" s="347"/>
      <c r="BF103" s="92"/>
      <c r="BG103" s="94"/>
      <c r="BH103" s="95"/>
      <c r="BI103" s="95"/>
      <c r="BJ103" s="95"/>
      <c r="BK103" s="94"/>
      <c r="BL103" s="346"/>
      <c r="BM103" s="93"/>
      <c r="BN103" s="94"/>
      <c r="BO103" s="94"/>
      <c r="BP103" s="330"/>
      <c r="BQ103" s="347"/>
      <c r="BR103" s="92"/>
      <c r="BS103" s="94"/>
      <c r="BT103" s="95"/>
      <c r="BU103" s="95"/>
      <c r="BV103" s="95"/>
      <c r="BW103" s="94"/>
      <c r="BX103" s="346"/>
      <c r="BY103" s="93"/>
      <c r="BZ103" s="94"/>
      <c r="CA103" s="94"/>
      <c r="CB103" s="330"/>
      <c r="CC103" s="347"/>
      <c r="CD103" s="92"/>
      <c r="CE103" s="94"/>
      <c r="CF103" s="95"/>
      <c r="CG103" s="95"/>
      <c r="CH103" s="95"/>
      <c r="CI103" s="94"/>
    </row>
    <row r="104" spans="1:87" x14ac:dyDescent="0.2">
      <c r="A104" s="8">
        <v>95</v>
      </c>
      <c r="B104" s="1125">
        <f>'Membership Record'!B105</f>
        <v>0</v>
      </c>
      <c r="C104" s="1125"/>
      <c r="D104" s="87">
        <f>'Membership Record'!G105+'Membership Record'!P105</f>
        <v>0</v>
      </c>
      <c r="E104" s="350">
        <f t="shared" si="13"/>
        <v>0</v>
      </c>
      <c r="F104" s="614">
        <f>'Membership Record'!H105+'Membership Record'!Q105</f>
        <v>0</v>
      </c>
      <c r="G104" s="615">
        <f t="shared" si="14"/>
        <v>0</v>
      </c>
      <c r="H104" s="614">
        <f>'Membership Record'!I105+'Membership Record'!R105</f>
        <v>0</v>
      </c>
      <c r="I104" s="616">
        <f t="shared" si="15"/>
        <v>0</v>
      </c>
      <c r="J104" s="614">
        <f>'Membership Record'!J105+'Membership Record'!S105</f>
        <v>0</v>
      </c>
      <c r="K104" s="618">
        <f t="shared" si="16"/>
        <v>0</v>
      </c>
      <c r="L104" s="618">
        <f>'Membership Record'!K105+'Membership Record'!T105</f>
        <v>0</v>
      </c>
      <c r="M104" s="615">
        <f t="shared" si="17"/>
        <v>0</v>
      </c>
      <c r="N104" s="614">
        <f>'Membership Record'!L105+'Membership Record'!U105</f>
        <v>0</v>
      </c>
      <c r="O104" s="619">
        <f t="shared" si="18"/>
        <v>0</v>
      </c>
      <c r="P104" s="346"/>
      <c r="Q104" s="93"/>
      <c r="R104" s="94"/>
      <c r="S104" s="94"/>
      <c r="T104" s="330"/>
      <c r="U104" s="347"/>
      <c r="V104" s="92"/>
      <c r="W104" s="94"/>
      <c r="X104" s="95"/>
      <c r="Y104" s="95"/>
      <c r="Z104" s="95"/>
      <c r="AA104" s="94"/>
      <c r="AB104" s="346"/>
      <c r="AC104" s="93"/>
      <c r="AD104" s="94"/>
      <c r="AE104" s="94"/>
      <c r="AF104" s="330"/>
      <c r="AG104" s="347"/>
      <c r="AH104" s="92"/>
      <c r="AI104" s="94"/>
      <c r="AJ104" s="95"/>
      <c r="AK104" s="95"/>
      <c r="AL104" s="95"/>
      <c r="AM104" s="94"/>
      <c r="AN104" s="346"/>
      <c r="AO104" s="93"/>
      <c r="AP104" s="94"/>
      <c r="AQ104" s="94"/>
      <c r="AR104" s="330"/>
      <c r="AS104" s="347"/>
      <c r="AT104" s="92"/>
      <c r="AU104" s="94"/>
      <c r="AV104" s="95"/>
      <c r="AW104" s="95"/>
      <c r="AX104" s="95"/>
      <c r="AY104" s="94"/>
      <c r="AZ104" s="346"/>
      <c r="BA104" s="93"/>
      <c r="BB104" s="94"/>
      <c r="BC104" s="94"/>
      <c r="BD104" s="330"/>
      <c r="BE104" s="347"/>
      <c r="BF104" s="92"/>
      <c r="BG104" s="94"/>
      <c r="BH104" s="95"/>
      <c r="BI104" s="95"/>
      <c r="BJ104" s="95"/>
      <c r="BK104" s="94"/>
      <c r="BL104" s="346"/>
      <c r="BM104" s="93"/>
      <c r="BN104" s="94"/>
      <c r="BO104" s="94"/>
      <c r="BP104" s="330"/>
      <c r="BQ104" s="347"/>
      <c r="BR104" s="92"/>
      <c r="BS104" s="94"/>
      <c r="BT104" s="95"/>
      <c r="BU104" s="95"/>
      <c r="BV104" s="95"/>
      <c r="BW104" s="94"/>
      <c r="BX104" s="346"/>
      <c r="BY104" s="93"/>
      <c r="BZ104" s="94"/>
      <c r="CA104" s="94"/>
      <c r="CB104" s="330"/>
      <c r="CC104" s="347"/>
      <c r="CD104" s="92"/>
      <c r="CE104" s="94"/>
      <c r="CF104" s="95"/>
      <c r="CG104" s="95"/>
      <c r="CH104" s="95"/>
      <c r="CI104" s="94"/>
    </row>
    <row r="105" spans="1:87" x14ac:dyDescent="0.2">
      <c r="A105" s="8">
        <v>96</v>
      </c>
      <c r="B105" s="1125">
        <f>'Membership Record'!B106</f>
        <v>0</v>
      </c>
      <c r="C105" s="1125"/>
      <c r="D105" s="87">
        <f>'Membership Record'!G106+'Membership Record'!P106</f>
        <v>0</v>
      </c>
      <c r="E105" s="350">
        <f t="shared" si="13"/>
        <v>0</v>
      </c>
      <c r="F105" s="614">
        <f>'Membership Record'!H106+'Membership Record'!Q106</f>
        <v>0</v>
      </c>
      <c r="G105" s="615">
        <f t="shared" si="14"/>
        <v>0</v>
      </c>
      <c r="H105" s="614">
        <f>'Membership Record'!I106+'Membership Record'!R106</f>
        <v>0</v>
      </c>
      <c r="I105" s="616">
        <f t="shared" si="15"/>
        <v>0</v>
      </c>
      <c r="J105" s="614">
        <f>'Membership Record'!J106+'Membership Record'!S106</f>
        <v>0</v>
      </c>
      <c r="K105" s="618">
        <f t="shared" si="16"/>
        <v>0</v>
      </c>
      <c r="L105" s="618">
        <f>'Membership Record'!K106+'Membership Record'!T106</f>
        <v>0</v>
      </c>
      <c r="M105" s="615">
        <f t="shared" si="17"/>
        <v>0</v>
      </c>
      <c r="N105" s="614">
        <f>'Membership Record'!L106+'Membership Record'!U106</f>
        <v>0</v>
      </c>
      <c r="O105" s="619">
        <f t="shared" si="18"/>
        <v>0</v>
      </c>
      <c r="P105" s="346"/>
      <c r="Q105" s="93"/>
      <c r="R105" s="94"/>
      <c r="S105" s="94"/>
      <c r="T105" s="330"/>
      <c r="U105" s="347"/>
      <c r="V105" s="92"/>
      <c r="W105" s="94"/>
      <c r="X105" s="95"/>
      <c r="Y105" s="95"/>
      <c r="Z105" s="95"/>
      <c r="AA105" s="94"/>
      <c r="AB105" s="346"/>
      <c r="AC105" s="93"/>
      <c r="AD105" s="94"/>
      <c r="AE105" s="94"/>
      <c r="AF105" s="330"/>
      <c r="AG105" s="347"/>
      <c r="AH105" s="92"/>
      <c r="AI105" s="94"/>
      <c r="AJ105" s="95"/>
      <c r="AK105" s="95"/>
      <c r="AL105" s="95"/>
      <c r="AM105" s="94"/>
      <c r="AN105" s="346"/>
      <c r="AO105" s="93"/>
      <c r="AP105" s="94"/>
      <c r="AQ105" s="94"/>
      <c r="AR105" s="330"/>
      <c r="AS105" s="347"/>
      <c r="AT105" s="92"/>
      <c r="AU105" s="94"/>
      <c r="AV105" s="95"/>
      <c r="AW105" s="95"/>
      <c r="AX105" s="95"/>
      <c r="AY105" s="94"/>
      <c r="AZ105" s="346"/>
      <c r="BA105" s="93"/>
      <c r="BB105" s="94"/>
      <c r="BC105" s="94"/>
      <c r="BD105" s="330"/>
      <c r="BE105" s="347"/>
      <c r="BF105" s="92"/>
      <c r="BG105" s="94"/>
      <c r="BH105" s="95"/>
      <c r="BI105" s="95"/>
      <c r="BJ105" s="95"/>
      <c r="BK105" s="94"/>
      <c r="BL105" s="346"/>
      <c r="BM105" s="93"/>
      <c r="BN105" s="94"/>
      <c r="BO105" s="94"/>
      <c r="BP105" s="330"/>
      <c r="BQ105" s="347"/>
      <c r="BR105" s="92"/>
      <c r="BS105" s="94"/>
      <c r="BT105" s="95"/>
      <c r="BU105" s="95"/>
      <c r="BV105" s="95"/>
      <c r="BW105" s="94"/>
      <c r="BX105" s="346"/>
      <c r="BY105" s="93"/>
      <c r="BZ105" s="94"/>
      <c r="CA105" s="94"/>
      <c r="CB105" s="330"/>
      <c r="CC105" s="347"/>
      <c r="CD105" s="92"/>
      <c r="CE105" s="94"/>
      <c r="CF105" s="95"/>
      <c r="CG105" s="95"/>
      <c r="CH105" s="95"/>
      <c r="CI105" s="94"/>
    </row>
    <row r="106" spans="1:87" x14ac:dyDescent="0.2">
      <c r="A106" s="8">
        <v>97</v>
      </c>
      <c r="B106" s="1125">
        <f>'Membership Record'!B107</f>
        <v>0</v>
      </c>
      <c r="C106" s="1125"/>
      <c r="D106" s="87">
        <f>'Membership Record'!G107+'Membership Record'!P107</f>
        <v>0</v>
      </c>
      <c r="E106" s="350">
        <f t="shared" si="13"/>
        <v>0</v>
      </c>
      <c r="F106" s="614">
        <f>'Membership Record'!H107+'Membership Record'!Q107</f>
        <v>0</v>
      </c>
      <c r="G106" s="615">
        <f t="shared" si="14"/>
        <v>0</v>
      </c>
      <c r="H106" s="614">
        <f>'Membership Record'!I107+'Membership Record'!R107</f>
        <v>0</v>
      </c>
      <c r="I106" s="616">
        <f t="shared" si="15"/>
        <v>0</v>
      </c>
      <c r="J106" s="614">
        <f>'Membership Record'!J107+'Membership Record'!S107</f>
        <v>0</v>
      </c>
      <c r="K106" s="618">
        <f t="shared" si="16"/>
        <v>0</v>
      </c>
      <c r="L106" s="618">
        <f>'Membership Record'!K107+'Membership Record'!T107</f>
        <v>0</v>
      </c>
      <c r="M106" s="615">
        <f t="shared" si="17"/>
        <v>0</v>
      </c>
      <c r="N106" s="614">
        <f>'Membership Record'!L107+'Membership Record'!U107</f>
        <v>0</v>
      </c>
      <c r="O106" s="619">
        <f t="shared" si="18"/>
        <v>0</v>
      </c>
      <c r="P106" s="346"/>
      <c r="Q106" s="93"/>
      <c r="R106" s="94"/>
      <c r="S106" s="94"/>
      <c r="T106" s="330"/>
      <c r="U106" s="347"/>
      <c r="V106" s="92"/>
      <c r="W106" s="94"/>
      <c r="X106" s="95"/>
      <c r="Y106" s="95"/>
      <c r="Z106" s="95"/>
      <c r="AA106" s="94"/>
      <c r="AB106" s="346"/>
      <c r="AC106" s="93"/>
      <c r="AD106" s="94"/>
      <c r="AE106" s="94"/>
      <c r="AF106" s="330"/>
      <c r="AG106" s="347"/>
      <c r="AH106" s="92"/>
      <c r="AI106" s="94"/>
      <c r="AJ106" s="95"/>
      <c r="AK106" s="95"/>
      <c r="AL106" s="95"/>
      <c r="AM106" s="94"/>
      <c r="AN106" s="346"/>
      <c r="AO106" s="93"/>
      <c r="AP106" s="94"/>
      <c r="AQ106" s="94"/>
      <c r="AR106" s="330"/>
      <c r="AS106" s="347"/>
      <c r="AT106" s="92"/>
      <c r="AU106" s="94"/>
      <c r="AV106" s="95"/>
      <c r="AW106" s="95"/>
      <c r="AX106" s="95"/>
      <c r="AY106" s="94"/>
      <c r="AZ106" s="346"/>
      <c r="BA106" s="93"/>
      <c r="BB106" s="94"/>
      <c r="BC106" s="94"/>
      <c r="BD106" s="330"/>
      <c r="BE106" s="347"/>
      <c r="BF106" s="92"/>
      <c r="BG106" s="94"/>
      <c r="BH106" s="95"/>
      <c r="BI106" s="95"/>
      <c r="BJ106" s="95"/>
      <c r="BK106" s="94"/>
      <c r="BL106" s="346"/>
      <c r="BM106" s="93"/>
      <c r="BN106" s="94"/>
      <c r="BO106" s="94"/>
      <c r="BP106" s="330"/>
      <c r="BQ106" s="347"/>
      <c r="BR106" s="92"/>
      <c r="BS106" s="94"/>
      <c r="BT106" s="95"/>
      <c r="BU106" s="95"/>
      <c r="BV106" s="95"/>
      <c r="BW106" s="94"/>
      <c r="BX106" s="346"/>
      <c r="BY106" s="93"/>
      <c r="BZ106" s="94"/>
      <c r="CA106" s="94"/>
      <c r="CB106" s="330"/>
      <c r="CC106" s="347"/>
      <c r="CD106" s="92"/>
      <c r="CE106" s="94"/>
      <c r="CF106" s="95"/>
      <c r="CG106" s="95"/>
      <c r="CH106" s="95"/>
      <c r="CI106" s="94"/>
    </row>
    <row r="107" spans="1:87" x14ac:dyDescent="0.2">
      <c r="A107" s="8">
        <v>98</v>
      </c>
      <c r="B107" s="1125">
        <f>'Membership Record'!B108</f>
        <v>0</v>
      </c>
      <c r="C107" s="1125"/>
      <c r="D107" s="87">
        <f>'Membership Record'!G108+'Membership Record'!P108</f>
        <v>0</v>
      </c>
      <c r="E107" s="350">
        <f t="shared" si="13"/>
        <v>0</v>
      </c>
      <c r="F107" s="614">
        <f>'Membership Record'!H108+'Membership Record'!Q108</f>
        <v>0</v>
      </c>
      <c r="G107" s="615">
        <f t="shared" si="14"/>
        <v>0</v>
      </c>
      <c r="H107" s="614">
        <f>'Membership Record'!I108+'Membership Record'!R108</f>
        <v>0</v>
      </c>
      <c r="I107" s="616">
        <f t="shared" si="15"/>
        <v>0</v>
      </c>
      <c r="J107" s="614">
        <f>'Membership Record'!J108+'Membership Record'!S108</f>
        <v>0</v>
      </c>
      <c r="K107" s="618">
        <f t="shared" si="16"/>
        <v>0</v>
      </c>
      <c r="L107" s="618">
        <f>'Membership Record'!K108+'Membership Record'!T108</f>
        <v>0</v>
      </c>
      <c r="M107" s="615">
        <f t="shared" si="17"/>
        <v>0</v>
      </c>
      <c r="N107" s="614">
        <f>'Membership Record'!L108+'Membership Record'!U108</f>
        <v>0</v>
      </c>
      <c r="O107" s="619">
        <f t="shared" si="18"/>
        <v>0</v>
      </c>
      <c r="P107" s="346"/>
      <c r="Q107" s="93"/>
      <c r="R107" s="94"/>
      <c r="S107" s="94"/>
      <c r="T107" s="330"/>
      <c r="U107" s="347"/>
      <c r="V107" s="92"/>
      <c r="W107" s="94"/>
      <c r="X107" s="95"/>
      <c r="Y107" s="95"/>
      <c r="Z107" s="95"/>
      <c r="AA107" s="94"/>
      <c r="AB107" s="346"/>
      <c r="AC107" s="93"/>
      <c r="AD107" s="94"/>
      <c r="AE107" s="94"/>
      <c r="AF107" s="330"/>
      <c r="AG107" s="347"/>
      <c r="AH107" s="92"/>
      <c r="AI107" s="94"/>
      <c r="AJ107" s="95"/>
      <c r="AK107" s="95"/>
      <c r="AL107" s="95"/>
      <c r="AM107" s="94"/>
      <c r="AN107" s="346"/>
      <c r="AO107" s="93"/>
      <c r="AP107" s="94"/>
      <c r="AQ107" s="94"/>
      <c r="AR107" s="330"/>
      <c r="AS107" s="347"/>
      <c r="AT107" s="92"/>
      <c r="AU107" s="94"/>
      <c r="AV107" s="95"/>
      <c r="AW107" s="95"/>
      <c r="AX107" s="95"/>
      <c r="AY107" s="94"/>
      <c r="AZ107" s="346"/>
      <c r="BA107" s="93"/>
      <c r="BB107" s="94"/>
      <c r="BC107" s="94"/>
      <c r="BD107" s="330"/>
      <c r="BE107" s="347"/>
      <c r="BF107" s="92"/>
      <c r="BG107" s="94"/>
      <c r="BH107" s="95"/>
      <c r="BI107" s="95"/>
      <c r="BJ107" s="95"/>
      <c r="BK107" s="94"/>
      <c r="BL107" s="346"/>
      <c r="BM107" s="93"/>
      <c r="BN107" s="94"/>
      <c r="BO107" s="94"/>
      <c r="BP107" s="330"/>
      <c r="BQ107" s="347"/>
      <c r="BR107" s="92"/>
      <c r="BS107" s="94"/>
      <c r="BT107" s="95"/>
      <c r="BU107" s="95"/>
      <c r="BV107" s="95"/>
      <c r="BW107" s="94"/>
      <c r="BX107" s="346"/>
      <c r="BY107" s="93"/>
      <c r="BZ107" s="94"/>
      <c r="CA107" s="94"/>
      <c r="CB107" s="330"/>
      <c r="CC107" s="347"/>
      <c r="CD107" s="92"/>
      <c r="CE107" s="94"/>
      <c r="CF107" s="95"/>
      <c r="CG107" s="95"/>
      <c r="CH107" s="95"/>
      <c r="CI107" s="94"/>
    </row>
    <row r="108" spans="1:87" x14ac:dyDescent="0.2">
      <c r="A108" s="8">
        <v>99</v>
      </c>
      <c r="B108" s="1125">
        <f>'Membership Record'!B109</f>
        <v>0</v>
      </c>
      <c r="C108" s="1125"/>
      <c r="D108" s="87">
        <f>'Membership Record'!G109+'Membership Record'!P109</f>
        <v>0</v>
      </c>
      <c r="E108" s="350">
        <f t="shared" si="13"/>
        <v>0</v>
      </c>
      <c r="F108" s="614">
        <f>'Membership Record'!H109+'Membership Record'!Q109</f>
        <v>0</v>
      </c>
      <c r="G108" s="615">
        <f t="shared" si="14"/>
        <v>0</v>
      </c>
      <c r="H108" s="614">
        <f>'Membership Record'!I109+'Membership Record'!R109</f>
        <v>0</v>
      </c>
      <c r="I108" s="616">
        <f t="shared" si="15"/>
        <v>0</v>
      </c>
      <c r="J108" s="614">
        <f>'Membership Record'!J109+'Membership Record'!S109</f>
        <v>0</v>
      </c>
      <c r="K108" s="618">
        <f t="shared" si="16"/>
        <v>0</v>
      </c>
      <c r="L108" s="618">
        <f>'Membership Record'!K109+'Membership Record'!T109</f>
        <v>0</v>
      </c>
      <c r="M108" s="615">
        <f t="shared" si="17"/>
        <v>0</v>
      </c>
      <c r="N108" s="614">
        <f>'Membership Record'!L109+'Membership Record'!U109</f>
        <v>0</v>
      </c>
      <c r="O108" s="619">
        <f t="shared" si="18"/>
        <v>0</v>
      </c>
      <c r="P108" s="346"/>
      <c r="Q108" s="93"/>
      <c r="R108" s="94"/>
      <c r="S108" s="94"/>
      <c r="T108" s="330"/>
      <c r="U108" s="347"/>
      <c r="V108" s="92"/>
      <c r="W108" s="94"/>
      <c r="X108" s="95"/>
      <c r="Y108" s="95"/>
      <c r="Z108" s="95"/>
      <c r="AA108" s="94"/>
      <c r="AB108" s="346"/>
      <c r="AC108" s="93"/>
      <c r="AD108" s="94"/>
      <c r="AE108" s="94"/>
      <c r="AF108" s="330"/>
      <c r="AG108" s="347"/>
      <c r="AH108" s="92"/>
      <c r="AI108" s="94"/>
      <c r="AJ108" s="95"/>
      <c r="AK108" s="95"/>
      <c r="AL108" s="95"/>
      <c r="AM108" s="94"/>
      <c r="AN108" s="346"/>
      <c r="AO108" s="93"/>
      <c r="AP108" s="94"/>
      <c r="AQ108" s="94"/>
      <c r="AR108" s="330"/>
      <c r="AS108" s="347"/>
      <c r="AT108" s="92"/>
      <c r="AU108" s="94"/>
      <c r="AV108" s="95"/>
      <c r="AW108" s="95"/>
      <c r="AX108" s="95"/>
      <c r="AY108" s="94"/>
      <c r="AZ108" s="346"/>
      <c r="BA108" s="93"/>
      <c r="BB108" s="94"/>
      <c r="BC108" s="94"/>
      <c r="BD108" s="330"/>
      <c r="BE108" s="347"/>
      <c r="BF108" s="92"/>
      <c r="BG108" s="94"/>
      <c r="BH108" s="95"/>
      <c r="BI108" s="95"/>
      <c r="BJ108" s="95"/>
      <c r="BK108" s="94"/>
      <c r="BL108" s="346"/>
      <c r="BM108" s="93"/>
      <c r="BN108" s="94"/>
      <c r="BO108" s="94"/>
      <c r="BP108" s="330"/>
      <c r="BQ108" s="347"/>
      <c r="BR108" s="92"/>
      <c r="BS108" s="94"/>
      <c r="BT108" s="95"/>
      <c r="BU108" s="95"/>
      <c r="BV108" s="95"/>
      <c r="BW108" s="94"/>
      <c r="BX108" s="346"/>
      <c r="BY108" s="93"/>
      <c r="BZ108" s="94"/>
      <c r="CA108" s="94"/>
      <c r="CB108" s="330"/>
      <c r="CC108" s="347"/>
      <c r="CD108" s="92"/>
      <c r="CE108" s="94"/>
      <c r="CF108" s="95"/>
      <c r="CG108" s="95"/>
      <c r="CH108" s="95"/>
      <c r="CI108" s="94"/>
    </row>
    <row r="109" spans="1:87" x14ac:dyDescent="0.2">
      <c r="A109" s="8">
        <v>100</v>
      </c>
      <c r="B109" s="1125">
        <f>'Membership Record'!B110</f>
        <v>0</v>
      </c>
      <c r="C109" s="1125"/>
      <c r="D109" s="87">
        <f>'Membership Record'!G110+'Membership Record'!P110</f>
        <v>0</v>
      </c>
      <c r="E109" s="350">
        <f t="shared" si="13"/>
        <v>0</v>
      </c>
      <c r="F109" s="614">
        <f>'Membership Record'!H110+'Membership Record'!Q110</f>
        <v>0</v>
      </c>
      <c r="G109" s="615">
        <f t="shared" si="14"/>
        <v>0</v>
      </c>
      <c r="H109" s="614">
        <f>'Membership Record'!I110+'Membership Record'!R110</f>
        <v>0</v>
      </c>
      <c r="I109" s="616">
        <f t="shared" si="15"/>
        <v>0</v>
      </c>
      <c r="J109" s="614">
        <f>'Membership Record'!J110+'Membership Record'!S110</f>
        <v>0</v>
      </c>
      <c r="K109" s="618">
        <f t="shared" si="16"/>
        <v>0</v>
      </c>
      <c r="L109" s="618">
        <f>'Membership Record'!K110+'Membership Record'!T110</f>
        <v>0</v>
      </c>
      <c r="M109" s="615">
        <f t="shared" si="17"/>
        <v>0</v>
      </c>
      <c r="N109" s="614">
        <f>'Membership Record'!L110+'Membership Record'!U110</f>
        <v>0</v>
      </c>
      <c r="O109" s="619">
        <f t="shared" si="18"/>
        <v>0</v>
      </c>
      <c r="P109" s="346"/>
      <c r="Q109" s="93"/>
      <c r="R109" s="94"/>
      <c r="S109" s="94"/>
      <c r="T109" s="330"/>
      <c r="U109" s="347"/>
      <c r="V109" s="92"/>
      <c r="W109" s="94"/>
      <c r="X109" s="95"/>
      <c r="Y109" s="95"/>
      <c r="Z109" s="95"/>
      <c r="AA109" s="94"/>
      <c r="AB109" s="346"/>
      <c r="AC109" s="93"/>
      <c r="AD109" s="94"/>
      <c r="AE109" s="94"/>
      <c r="AF109" s="330"/>
      <c r="AG109" s="347"/>
      <c r="AH109" s="92"/>
      <c r="AI109" s="94"/>
      <c r="AJ109" s="95"/>
      <c r="AK109" s="95"/>
      <c r="AL109" s="95"/>
      <c r="AM109" s="94"/>
      <c r="AN109" s="346"/>
      <c r="AO109" s="93"/>
      <c r="AP109" s="94"/>
      <c r="AQ109" s="94"/>
      <c r="AR109" s="330"/>
      <c r="AS109" s="347"/>
      <c r="AT109" s="92"/>
      <c r="AU109" s="94"/>
      <c r="AV109" s="95"/>
      <c r="AW109" s="95"/>
      <c r="AX109" s="95"/>
      <c r="AY109" s="94"/>
      <c r="AZ109" s="346"/>
      <c r="BA109" s="93"/>
      <c r="BB109" s="94"/>
      <c r="BC109" s="94"/>
      <c r="BD109" s="330"/>
      <c r="BE109" s="347"/>
      <c r="BF109" s="92"/>
      <c r="BG109" s="94"/>
      <c r="BH109" s="95"/>
      <c r="BI109" s="95"/>
      <c r="BJ109" s="95"/>
      <c r="BK109" s="94"/>
      <c r="BL109" s="346"/>
      <c r="BM109" s="93"/>
      <c r="BN109" s="94"/>
      <c r="BO109" s="94"/>
      <c r="BP109" s="330"/>
      <c r="BQ109" s="347"/>
      <c r="BR109" s="92"/>
      <c r="BS109" s="94"/>
      <c r="BT109" s="95"/>
      <c r="BU109" s="95"/>
      <c r="BV109" s="95"/>
      <c r="BW109" s="94"/>
      <c r="BX109" s="346"/>
      <c r="BY109" s="93"/>
      <c r="BZ109" s="94"/>
      <c r="CA109" s="94"/>
      <c r="CB109" s="330"/>
      <c r="CC109" s="347"/>
      <c r="CD109" s="92"/>
      <c r="CE109" s="94"/>
      <c r="CF109" s="95"/>
      <c r="CG109" s="95"/>
      <c r="CH109" s="95"/>
      <c r="CI109" s="94"/>
    </row>
    <row r="110" spans="1:87" x14ac:dyDescent="0.2">
      <c r="A110" s="8">
        <v>101</v>
      </c>
      <c r="B110" s="1125">
        <f>'Membership Record'!B111</f>
        <v>0</v>
      </c>
      <c r="C110" s="1125"/>
      <c r="D110" s="87">
        <f>'Membership Record'!G111+'Membership Record'!P111</f>
        <v>0</v>
      </c>
      <c r="E110" s="350">
        <f t="shared" si="13"/>
        <v>0</v>
      </c>
      <c r="F110" s="614">
        <f>'Membership Record'!H111+'Membership Record'!Q111</f>
        <v>0</v>
      </c>
      <c r="G110" s="615">
        <f t="shared" si="14"/>
        <v>0</v>
      </c>
      <c r="H110" s="614">
        <f>'Membership Record'!I111+'Membership Record'!R111</f>
        <v>0</v>
      </c>
      <c r="I110" s="616">
        <f t="shared" si="15"/>
        <v>0</v>
      </c>
      <c r="J110" s="614">
        <f>'Membership Record'!J111+'Membership Record'!S111</f>
        <v>0</v>
      </c>
      <c r="K110" s="618">
        <f t="shared" si="16"/>
        <v>0</v>
      </c>
      <c r="L110" s="618">
        <f>'Membership Record'!K111+'Membership Record'!T111</f>
        <v>0</v>
      </c>
      <c r="M110" s="615">
        <f t="shared" si="17"/>
        <v>0</v>
      </c>
      <c r="N110" s="614">
        <f>'Membership Record'!L111+'Membership Record'!U111</f>
        <v>0</v>
      </c>
      <c r="O110" s="619">
        <f t="shared" si="18"/>
        <v>0</v>
      </c>
      <c r="P110" s="346"/>
      <c r="Q110" s="93"/>
      <c r="R110" s="94"/>
      <c r="S110" s="94"/>
      <c r="T110" s="330"/>
      <c r="U110" s="347"/>
      <c r="V110" s="92"/>
      <c r="W110" s="94"/>
      <c r="X110" s="95"/>
      <c r="Y110" s="95"/>
      <c r="Z110" s="95"/>
      <c r="AA110" s="94"/>
      <c r="AB110" s="346"/>
      <c r="AC110" s="93"/>
      <c r="AD110" s="94"/>
      <c r="AE110" s="94"/>
      <c r="AF110" s="330"/>
      <c r="AG110" s="347"/>
      <c r="AH110" s="92"/>
      <c r="AI110" s="94"/>
      <c r="AJ110" s="95"/>
      <c r="AK110" s="95"/>
      <c r="AL110" s="95"/>
      <c r="AM110" s="94"/>
      <c r="AN110" s="346"/>
      <c r="AO110" s="93"/>
      <c r="AP110" s="94"/>
      <c r="AQ110" s="94"/>
      <c r="AR110" s="330"/>
      <c r="AS110" s="347"/>
      <c r="AT110" s="92"/>
      <c r="AU110" s="94"/>
      <c r="AV110" s="95"/>
      <c r="AW110" s="95"/>
      <c r="AX110" s="95"/>
      <c r="AY110" s="94"/>
      <c r="AZ110" s="346"/>
      <c r="BA110" s="93"/>
      <c r="BB110" s="94"/>
      <c r="BC110" s="94"/>
      <c r="BD110" s="330"/>
      <c r="BE110" s="347"/>
      <c r="BF110" s="92"/>
      <c r="BG110" s="94"/>
      <c r="BH110" s="95"/>
      <c r="BI110" s="95"/>
      <c r="BJ110" s="95"/>
      <c r="BK110" s="94"/>
      <c r="BL110" s="346"/>
      <c r="BM110" s="93"/>
      <c r="BN110" s="94"/>
      <c r="BO110" s="94"/>
      <c r="BP110" s="330"/>
      <c r="BQ110" s="347"/>
      <c r="BR110" s="92"/>
      <c r="BS110" s="94"/>
      <c r="BT110" s="95"/>
      <c r="BU110" s="95"/>
      <c r="BV110" s="95"/>
      <c r="BW110" s="94"/>
      <c r="BX110" s="346"/>
      <c r="BY110" s="93"/>
      <c r="BZ110" s="94"/>
      <c r="CA110" s="94"/>
      <c r="CB110" s="330"/>
      <c r="CC110" s="347"/>
      <c r="CD110" s="92"/>
      <c r="CE110" s="94"/>
      <c r="CF110" s="95"/>
      <c r="CG110" s="95"/>
      <c r="CH110" s="95"/>
      <c r="CI110" s="94"/>
    </row>
    <row r="111" spans="1:87" x14ac:dyDescent="0.2">
      <c r="A111" s="8">
        <v>102</v>
      </c>
      <c r="B111" s="1125">
        <f>'Membership Record'!B112</f>
        <v>0</v>
      </c>
      <c r="C111" s="1125"/>
      <c r="D111" s="87">
        <f>'Membership Record'!G112+'Membership Record'!P112</f>
        <v>0</v>
      </c>
      <c r="E111" s="350">
        <f t="shared" si="13"/>
        <v>0</v>
      </c>
      <c r="F111" s="614">
        <f>'Membership Record'!H112+'Membership Record'!Q112</f>
        <v>0</v>
      </c>
      <c r="G111" s="615">
        <f t="shared" si="14"/>
        <v>0</v>
      </c>
      <c r="H111" s="614">
        <f>'Membership Record'!I112+'Membership Record'!R112</f>
        <v>0</v>
      </c>
      <c r="I111" s="616">
        <f t="shared" si="15"/>
        <v>0</v>
      </c>
      <c r="J111" s="614">
        <f>'Membership Record'!J112+'Membership Record'!S112</f>
        <v>0</v>
      </c>
      <c r="K111" s="618">
        <f t="shared" si="16"/>
        <v>0</v>
      </c>
      <c r="L111" s="618">
        <f>'Membership Record'!K112+'Membership Record'!T112</f>
        <v>0</v>
      </c>
      <c r="M111" s="615">
        <f t="shared" si="17"/>
        <v>0</v>
      </c>
      <c r="N111" s="614">
        <f>'Membership Record'!L112+'Membership Record'!U112</f>
        <v>0</v>
      </c>
      <c r="O111" s="619">
        <f t="shared" si="18"/>
        <v>0</v>
      </c>
      <c r="P111" s="346"/>
      <c r="Q111" s="93"/>
      <c r="R111" s="94"/>
      <c r="S111" s="94"/>
      <c r="T111" s="330"/>
      <c r="U111" s="347"/>
      <c r="V111" s="92"/>
      <c r="W111" s="94"/>
      <c r="X111" s="95"/>
      <c r="Y111" s="95"/>
      <c r="Z111" s="95"/>
      <c r="AA111" s="94"/>
      <c r="AB111" s="346"/>
      <c r="AC111" s="93"/>
      <c r="AD111" s="94"/>
      <c r="AE111" s="94"/>
      <c r="AF111" s="330"/>
      <c r="AG111" s="347"/>
      <c r="AH111" s="92"/>
      <c r="AI111" s="94"/>
      <c r="AJ111" s="95"/>
      <c r="AK111" s="95"/>
      <c r="AL111" s="95"/>
      <c r="AM111" s="94"/>
      <c r="AN111" s="346"/>
      <c r="AO111" s="93"/>
      <c r="AP111" s="94"/>
      <c r="AQ111" s="94"/>
      <c r="AR111" s="330"/>
      <c r="AS111" s="347"/>
      <c r="AT111" s="92"/>
      <c r="AU111" s="94"/>
      <c r="AV111" s="95"/>
      <c r="AW111" s="95"/>
      <c r="AX111" s="95"/>
      <c r="AY111" s="94"/>
      <c r="AZ111" s="346"/>
      <c r="BA111" s="93"/>
      <c r="BB111" s="94"/>
      <c r="BC111" s="94"/>
      <c r="BD111" s="330"/>
      <c r="BE111" s="347"/>
      <c r="BF111" s="92"/>
      <c r="BG111" s="94"/>
      <c r="BH111" s="95"/>
      <c r="BI111" s="95"/>
      <c r="BJ111" s="95"/>
      <c r="BK111" s="94"/>
      <c r="BL111" s="346"/>
      <c r="BM111" s="93"/>
      <c r="BN111" s="94"/>
      <c r="BO111" s="94"/>
      <c r="BP111" s="330"/>
      <c r="BQ111" s="347"/>
      <c r="BR111" s="92"/>
      <c r="BS111" s="94"/>
      <c r="BT111" s="95"/>
      <c r="BU111" s="95"/>
      <c r="BV111" s="95"/>
      <c r="BW111" s="94"/>
      <c r="BX111" s="346"/>
      <c r="BY111" s="93"/>
      <c r="BZ111" s="94"/>
      <c r="CA111" s="94"/>
      <c r="CB111" s="330"/>
      <c r="CC111" s="347"/>
      <c r="CD111" s="92"/>
      <c r="CE111" s="94"/>
      <c r="CF111" s="95"/>
      <c r="CG111" s="95"/>
      <c r="CH111" s="95"/>
      <c r="CI111" s="94"/>
    </row>
    <row r="112" spans="1:87" x14ac:dyDescent="0.2">
      <c r="A112" s="8">
        <v>103</v>
      </c>
      <c r="B112" s="1125">
        <f>'Membership Record'!B113</f>
        <v>0</v>
      </c>
      <c r="C112" s="1125"/>
      <c r="D112" s="87">
        <f>'Membership Record'!G113+'Membership Record'!P113</f>
        <v>0</v>
      </c>
      <c r="E112" s="350">
        <f t="shared" si="13"/>
        <v>0</v>
      </c>
      <c r="F112" s="614">
        <f>'Membership Record'!H113+'Membership Record'!Q113</f>
        <v>0</v>
      </c>
      <c r="G112" s="615">
        <f t="shared" si="14"/>
        <v>0</v>
      </c>
      <c r="H112" s="614">
        <f>'Membership Record'!I113+'Membership Record'!R113</f>
        <v>0</v>
      </c>
      <c r="I112" s="616">
        <f t="shared" si="15"/>
        <v>0</v>
      </c>
      <c r="J112" s="614">
        <f>'Membership Record'!J113+'Membership Record'!S113</f>
        <v>0</v>
      </c>
      <c r="K112" s="618">
        <f t="shared" si="16"/>
        <v>0</v>
      </c>
      <c r="L112" s="618">
        <f>'Membership Record'!K113+'Membership Record'!T113</f>
        <v>0</v>
      </c>
      <c r="M112" s="615">
        <f t="shared" si="17"/>
        <v>0</v>
      </c>
      <c r="N112" s="614">
        <f>'Membership Record'!L113+'Membership Record'!U113</f>
        <v>0</v>
      </c>
      <c r="O112" s="619">
        <f t="shared" si="18"/>
        <v>0</v>
      </c>
      <c r="P112" s="346"/>
      <c r="Q112" s="93"/>
      <c r="R112" s="94"/>
      <c r="S112" s="94"/>
      <c r="T112" s="330"/>
      <c r="U112" s="347"/>
      <c r="V112" s="92"/>
      <c r="W112" s="94"/>
      <c r="X112" s="95"/>
      <c r="Y112" s="95"/>
      <c r="Z112" s="95"/>
      <c r="AA112" s="94"/>
      <c r="AB112" s="346"/>
      <c r="AC112" s="93"/>
      <c r="AD112" s="94"/>
      <c r="AE112" s="94"/>
      <c r="AF112" s="330"/>
      <c r="AG112" s="347"/>
      <c r="AH112" s="92"/>
      <c r="AI112" s="94"/>
      <c r="AJ112" s="95"/>
      <c r="AK112" s="95"/>
      <c r="AL112" s="95"/>
      <c r="AM112" s="94"/>
      <c r="AN112" s="346"/>
      <c r="AO112" s="93"/>
      <c r="AP112" s="94"/>
      <c r="AQ112" s="94"/>
      <c r="AR112" s="330"/>
      <c r="AS112" s="347"/>
      <c r="AT112" s="92"/>
      <c r="AU112" s="94"/>
      <c r="AV112" s="95"/>
      <c r="AW112" s="95"/>
      <c r="AX112" s="95"/>
      <c r="AY112" s="94"/>
      <c r="AZ112" s="346"/>
      <c r="BA112" s="93"/>
      <c r="BB112" s="94"/>
      <c r="BC112" s="94"/>
      <c r="BD112" s="330"/>
      <c r="BE112" s="347"/>
      <c r="BF112" s="92"/>
      <c r="BG112" s="94"/>
      <c r="BH112" s="95"/>
      <c r="BI112" s="95"/>
      <c r="BJ112" s="95"/>
      <c r="BK112" s="94"/>
      <c r="BL112" s="346"/>
      <c r="BM112" s="93"/>
      <c r="BN112" s="94"/>
      <c r="BO112" s="94"/>
      <c r="BP112" s="330"/>
      <c r="BQ112" s="347"/>
      <c r="BR112" s="92"/>
      <c r="BS112" s="94"/>
      <c r="BT112" s="95"/>
      <c r="BU112" s="95"/>
      <c r="BV112" s="95"/>
      <c r="BW112" s="94"/>
      <c r="BX112" s="346"/>
      <c r="BY112" s="93"/>
      <c r="BZ112" s="94"/>
      <c r="CA112" s="94"/>
      <c r="CB112" s="330"/>
      <c r="CC112" s="347"/>
      <c r="CD112" s="92"/>
      <c r="CE112" s="94"/>
      <c r="CF112" s="95"/>
      <c r="CG112" s="95"/>
      <c r="CH112" s="95"/>
      <c r="CI112" s="94"/>
    </row>
    <row r="113" spans="1:87" x14ac:dyDescent="0.2">
      <c r="A113" s="8">
        <v>104</v>
      </c>
      <c r="B113" s="1125">
        <f>'Membership Record'!B114</f>
        <v>0</v>
      </c>
      <c r="C113" s="1125"/>
      <c r="D113" s="87">
        <f>'Membership Record'!G114+'Membership Record'!P114</f>
        <v>0</v>
      </c>
      <c r="E113" s="350">
        <f t="shared" si="13"/>
        <v>0</v>
      </c>
      <c r="F113" s="614">
        <f>'Membership Record'!H114+'Membership Record'!Q114</f>
        <v>0</v>
      </c>
      <c r="G113" s="615">
        <f t="shared" si="14"/>
        <v>0</v>
      </c>
      <c r="H113" s="614">
        <f>'Membership Record'!I114+'Membership Record'!R114</f>
        <v>0</v>
      </c>
      <c r="I113" s="616">
        <f t="shared" si="15"/>
        <v>0</v>
      </c>
      <c r="J113" s="614">
        <f>'Membership Record'!J114+'Membership Record'!S114</f>
        <v>0</v>
      </c>
      <c r="K113" s="618">
        <f t="shared" si="16"/>
        <v>0</v>
      </c>
      <c r="L113" s="618">
        <f>'Membership Record'!K114+'Membership Record'!T114</f>
        <v>0</v>
      </c>
      <c r="M113" s="615">
        <f t="shared" si="17"/>
        <v>0</v>
      </c>
      <c r="N113" s="614">
        <f>'Membership Record'!L114+'Membership Record'!U114</f>
        <v>0</v>
      </c>
      <c r="O113" s="619">
        <f t="shared" si="18"/>
        <v>0</v>
      </c>
      <c r="P113" s="346"/>
      <c r="Q113" s="93"/>
      <c r="R113" s="94"/>
      <c r="S113" s="94"/>
      <c r="T113" s="330"/>
      <c r="U113" s="347"/>
      <c r="V113" s="92"/>
      <c r="W113" s="94"/>
      <c r="X113" s="95"/>
      <c r="Y113" s="95"/>
      <c r="Z113" s="95"/>
      <c r="AA113" s="94"/>
      <c r="AB113" s="346"/>
      <c r="AC113" s="93"/>
      <c r="AD113" s="94"/>
      <c r="AE113" s="94"/>
      <c r="AF113" s="330"/>
      <c r="AG113" s="347"/>
      <c r="AH113" s="92"/>
      <c r="AI113" s="94"/>
      <c r="AJ113" s="95"/>
      <c r="AK113" s="95"/>
      <c r="AL113" s="95"/>
      <c r="AM113" s="94"/>
      <c r="AN113" s="346"/>
      <c r="AO113" s="93"/>
      <c r="AP113" s="94"/>
      <c r="AQ113" s="94"/>
      <c r="AR113" s="330"/>
      <c r="AS113" s="347"/>
      <c r="AT113" s="92"/>
      <c r="AU113" s="94"/>
      <c r="AV113" s="95"/>
      <c r="AW113" s="95"/>
      <c r="AX113" s="95"/>
      <c r="AY113" s="94"/>
      <c r="AZ113" s="346"/>
      <c r="BA113" s="93"/>
      <c r="BB113" s="94"/>
      <c r="BC113" s="94"/>
      <c r="BD113" s="330"/>
      <c r="BE113" s="347"/>
      <c r="BF113" s="92"/>
      <c r="BG113" s="94"/>
      <c r="BH113" s="95"/>
      <c r="BI113" s="95"/>
      <c r="BJ113" s="95"/>
      <c r="BK113" s="94"/>
      <c r="BL113" s="346"/>
      <c r="BM113" s="93"/>
      <c r="BN113" s="94"/>
      <c r="BO113" s="94"/>
      <c r="BP113" s="330"/>
      <c r="BQ113" s="347"/>
      <c r="BR113" s="92"/>
      <c r="BS113" s="94"/>
      <c r="BT113" s="95"/>
      <c r="BU113" s="95"/>
      <c r="BV113" s="95"/>
      <c r="BW113" s="94"/>
      <c r="BX113" s="346"/>
      <c r="BY113" s="93"/>
      <c r="BZ113" s="94"/>
      <c r="CA113" s="94"/>
      <c r="CB113" s="330"/>
      <c r="CC113" s="347"/>
      <c r="CD113" s="92"/>
      <c r="CE113" s="94"/>
      <c r="CF113" s="95"/>
      <c r="CG113" s="95"/>
      <c r="CH113" s="95"/>
      <c r="CI113" s="94"/>
    </row>
    <row r="114" spans="1:87" x14ac:dyDescent="0.2">
      <c r="A114" s="8">
        <v>105</v>
      </c>
      <c r="B114" s="1125">
        <f>'Membership Record'!B115</f>
        <v>0</v>
      </c>
      <c r="C114" s="1125"/>
      <c r="D114" s="87">
        <f>'Membership Record'!G115+'Membership Record'!P115</f>
        <v>0</v>
      </c>
      <c r="E114" s="350">
        <f t="shared" si="13"/>
        <v>0</v>
      </c>
      <c r="F114" s="614">
        <f>'Membership Record'!H115+'Membership Record'!Q115</f>
        <v>0</v>
      </c>
      <c r="G114" s="615">
        <f t="shared" si="14"/>
        <v>0</v>
      </c>
      <c r="H114" s="614">
        <f>'Membership Record'!I115+'Membership Record'!R115</f>
        <v>0</v>
      </c>
      <c r="I114" s="616">
        <f t="shared" si="15"/>
        <v>0</v>
      </c>
      <c r="J114" s="614">
        <f>'Membership Record'!J115+'Membership Record'!S115</f>
        <v>0</v>
      </c>
      <c r="K114" s="618">
        <f t="shared" si="16"/>
        <v>0</v>
      </c>
      <c r="L114" s="618">
        <f>'Membership Record'!K115+'Membership Record'!T115</f>
        <v>0</v>
      </c>
      <c r="M114" s="615">
        <f t="shared" si="17"/>
        <v>0</v>
      </c>
      <c r="N114" s="614">
        <f>'Membership Record'!L115+'Membership Record'!U115</f>
        <v>0</v>
      </c>
      <c r="O114" s="619">
        <f t="shared" si="18"/>
        <v>0</v>
      </c>
      <c r="P114" s="346"/>
      <c r="Q114" s="93"/>
      <c r="R114" s="94"/>
      <c r="S114" s="94"/>
      <c r="T114" s="330"/>
      <c r="U114" s="347"/>
      <c r="V114" s="92"/>
      <c r="W114" s="94"/>
      <c r="X114" s="95"/>
      <c r="Y114" s="95"/>
      <c r="Z114" s="95"/>
      <c r="AA114" s="94"/>
      <c r="AB114" s="346"/>
      <c r="AC114" s="93"/>
      <c r="AD114" s="94"/>
      <c r="AE114" s="94"/>
      <c r="AF114" s="330"/>
      <c r="AG114" s="347"/>
      <c r="AH114" s="92"/>
      <c r="AI114" s="94"/>
      <c r="AJ114" s="95"/>
      <c r="AK114" s="95"/>
      <c r="AL114" s="95"/>
      <c r="AM114" s="94"/>
      <c r="AN114" s="346"/>
      <c r="AO114" s="93"/>
      <c r="AP114" s="94"/>
      <c r="AQ114" s="94"/>
      <c r="AR114" s="330"/>
      <c r="AS114" s="347"/>
      <c r="AT114" s="92"/>
      <c r="AU114" s="94"/>
      <c r="AV114" s="95"/>
      <c r="AW114" s="95"/>
      <c r="AX114" s="95"/>
      <c r="AY114" s="94"/>
      <c r="AZ114" s="346"/>
      <c r="BA114" s="93"/>
      <c r="BB114" s="94"/>
      <c r="BC114" s="94"/>
      <c r="BD114" s="330"/>
      <c r="BE114" s="347"/>
      <c r="BF114" s="92"/>
      <c r="BG114" s="94"/>
      <c r="BH114" s="95"/>
      <c r="BI114" s="95"/>
      <c r="BJ114" s="95"/>
      <c r="BK114" s="94"/>
      <c r="BL114" s="346"/>
      <c r="BM114" s="93"/>
      <c r="BN114" s="94"/>
      <c r="BO114" s="94"/>
      <c r="BP114" s="330"/>
      <c r="BQ114" s="347"/>
      <c r="BR114" s="92"/>
      <c r="BS114" s="94"/>
      <c r="BT114" s="95"/>
      <c r="BU114" s="95"/>
      <c r="BV114" s="95"/>
      <c r="BW114" s="94"/>
      <c r="BX114" s="346"/>
      <c r="BY114" s="93"/>
      <c r="BZ114" s="94"/>
      <c r="CA114" s="94"/>
      <c r="CB114" s="330"/>
      <c r="CC114" s="347"/>
      <c r="CD114" s="92"/>
      <c r="CE114" s="94"/>
      <c r="CF114" s="95"/>
      <c r="CG114" s="95"/>
      <c r="CH114" s="95"/>
      <c r="CI114" s="94"/>
    </row>
    <row r="115" spans="1:87" x14ac:dyDescent="0.2">
      <c r="A115" s="8">
        <v>106</v>
      </c>
      <c r="B115" s="1125">
        <f>'Membership Record'!B116</f>
        <v>0</v>
      </c>
      <c r="C115" s="1125"/>
      <c r="D115" s="87">
        <f>'Membership Record'!G116+'Membership Record'!P116</f>
        <v>0</v>
      </c>
      <c r="E115" s="350">
        <f t="shared" si="13"/>
        <v>0</v>
      </c>
      <c r="F115" s="614">
        <f>'Membership Record'!H116+'Membership Record'!Q116</f>
        <v>0</v>
      </c>
      <c r="G115" s="615">
        <f t="shared" si="14"/>
        <v>0</v>
      </c>
      <c r="H115" s="614">
        <f>'Membership Record'!I116+'Membership Record'!R116</f>
        <v>0</v>
      </c>
      <c r="I115" s="616">
        <f t="shared" si="15"/>
        <v>0</v>
      </c>
      <c r="J115" s="614">
        <f>'Membership Record'!J116+'Membership Record'!S116</f>
        <v>0</v>
      </c>
      <c r="K115" s="618">
        <f t="shared" si="16"/>
        <v>0</v>
      </c>
      <c r="L115" s="618">
        <f>'Membership Record'!K116+'Membership Record'!T116</f>
        <v>0</v>
      </c>
      <c r="M115" s="615">
        <f t="shared" si="17"/>
        <v>0</v>
      </c>
      <c r="N115" s="614">
        <f>'Membership Record'!L116+'Membership Record'!U116</f>
        <v>0</v>
      </c>
      <c r="O115" s="619">
        <f t="shared" si="18"/>
        <v>0</v>
      </c>
      <c r="P115" s="346"/>
      <c r="Q115" s="93"/>
      <c r="R115" s="94"/>
      <c r="S115" s="94"/>
      <c r="T115" s="330"/>
      <c r="U115" s="347"/>
      <c r="V115" s="92"/>
      <c r="W115" s="94"/>
      <c r="X115" s="95"/>
      <c r="Y115" s="95"/>
      <c r="Z115" s="95"/>
      <c r="AA115" s="94"/>
      <c r="AB115" s="346"/>
      <c r="AC115" s="93"/>
      <c r="AD115" s="94"/>
      <c r="AE115" s="94"/>
      <c r="AF115" s="330"/>
      <c r="AG115" s="347"/>
      <c r="AH115" s="92"/>
      <c r="AI115" s="94"/>
      <c r="AJ115" s="95"/>
      <c r="AK115" s="95"/>
      <c r="AL115" s="95"/>
      <c r="AM115" s="94"/>
      <c r="AN115" s="346"/>
      <c r="AO115" s="93"/>
      <c r="AP115" s="94"/>
      <c r="AQ115" s="94"/>
      <c r="AR115" s="330"/>
      <c r="AS115" s="347"/>
      <c r="AT115" s="92"/>
      <c r="AU115" s="94"/>
      <c r="AV115" s="95"/>
      <c r="AW115" s="95"/>
      <c r="AX115" s="95"/>
      <c r="AY115" s="94"/>
      <c r="AZ115" s="346"/>
      <c r="BA115" s="93"/>
      <c r="BB115" s="94"/>
      <c r="BC115" s="94"/>
      <c r="BD115" s="330"/>
      <c r="BE115" s="347"/>
      <c r="BF115" s="92"/>
      <c r="BG115" s="94"/>
      <c r="BH115" s="95"/>
      <c r="BI115" s="95"/>
      <c r="BJ115" s="95"/>
      <c r="BK115" s="94"/>
      <c r="BL115" s="346"/>
      <c r="BM115" s="93"/>
      <c r="BN115" s="94"/>
      <c r="BO115" s="94"/>
      <c r="BP115" s="330"/>
      <c r="BQ115" s="347"/>
      <c r="BR115" s="92"/>
      <c r="BS115" s="94"/>
      <c r="BT115" s="95"/>
      <c r="BU115" s="95"/>
      <c r="BV115" s="95"/>
      <c r="BW115" s="94"/>
      <c r="BX115" s="346"/>
      <c r="BY115" s="93"/>
      <c r="BZ115" s="94"/>
      <c r="CA115" s="94"/>
      <c r="CB115" s="330"/>
      <c r="CC115" s="347"/>
      <c r="CD115" s="92"/>
      <c r="CE115" s="94"/>
      <c r="CF115" s="95"/>
      <c r="CG115" s="95"/>
      <c r="CH115" s="95"/>
      <c r="CI115" s="94"/>
    </row>
    <row r="116" spans="1:87" x14ac:dyDescent="0.2">
      <c r="A116" s="8">
        <v>107</v>
      </c>
      <c r="B116" s="1125">
        <f>'Membership Record'!B117</f>
        <v>0</v>
      </c>
      <c r="C116" s="1125"/>
      <c r="D116" s="87">
        <f>'Membership Record'!G117+'Membership Record'!P117</f>
        <v>0</v>
      </c>
      <c r="E116" s="350">
        <f t="shared" si="13"/>
        <v>0</v>
      </c>
      <c r="F116" s="614">
        <f>'Membership Record'!H117+'Membership Record'!Q117</f>
        <v>0</v>
      </c>
      <c r="G116" s="615">
        <f t="shared" si="14"/>
        <v>0</v>
      </c>
      <c r="H116" s="614">
        <f>'Membership Record'!I117+'Membership Record'!R117</f>
        <v>0</v>
      </c>
      <c r="I116" s="616">
        <f t="shared" si="15"/>
        <v>0</v>
      </c>
      <c r="J116" s="614">
        <f>'Membership Record'!J117+'Membership Record'!S117</f>
        <v>0</v>
      </c>
      <c r="K116" s="618">
        <f t="shared" si="16"/>
        <v>0</v>
      </c>
      <c r="L116" s="618">
        <f>'Membership Record'!K117+'Membership Record'!T117</f>
        <v>0</v>
      </c>
      <c r="M116" s="615">
        <f t="shared" si="17"/>
        <v>0</v>
      </c>
      <c r="N116" s="614">
        <f>'Membership Record'!L117+'Membership Record'!U117</f>
        <v>0</v>
      </c>
      <c r="O116" s="619">
        <f t="shared" si="18"/>
        <v>0</v>
      </c>
      <c r="P116" s="346"/>
      <c r="Q116" s="93"/>
      <c r="R116" s="94"/>
      <c r="S116" s="94"/>
      <c r="T116" s="330"/>
      <c r="U116" s="347"/>
      <c r="V116" s="92"/>
      <c r="W116" s="94"/>
      <c r="X116" s="95"/>
      <c r="Y116" s="95"/>
      <c r="Z116" s="95"/>
      <c r="AA116" s="94"/>
      <c r="AB116" s="346"/>
      <c r="AC116" s="93"/>
      <c r="AD116" s="94"/>
      <c r="AE116" s="94"/>
      <c r="AF116" s="330"/>
      <c r="AG116" s="347"/>
      <c r="AH116" s="92"/>
      <c r="AI116" s="94"/>
      <c r="AJ116" s="95"/>
      <c r="AK116" s="95"/>
      <c r="AL116" s="95"/>
      <c r="AM116" s="94"/>
      <c r="AN116" s="346"/>
      <c r="AO116" s="93"/>
      <c r="AP116" s="94"/>
      <c r="AQ116" s="94"/>
      <c r="AR116" s="330"/>
      <c r="AS116" s="347"/>
      <c r="AT116" s="92"/>
      <c r="AU116" s="94"/>
      <c r="AV116" s="95"/>
      <c r="AW116" s="95"/>
      <c r="AX116" s="95"/>
      <c r="AY116" s="94"/>
      <c r="AZ116" s="346"/>
      <c r="BA116" s="93"/>
      <c r="BB116" s="94"/>
      <c r="BC116" s="94"/>
      <c r="BD116" s="330"/>
      <c r="BE116" s="347"/>
      <c r="BF116" s="92"/>
      <c r="BG116" s="94"/>
      <c r="BH116" s="95"/>
      <c r="BI116" s="95"/>
      <c r="BJ116" s="95"/>
      <c r="BK116" s="94"/>
      <c r="BL116" s="346"/>
      <c r="BM116" s="93"/>
      <c r="BN116" s="94"/>
      <c r="BO116" s="94"/>
      <c r="BP116" s="330"/>
      <c r="BQ116" s="347"/>
      <c r="BR116" s="92"/>
      <c r="BS116" s="94"/>
      <c r="BT116" s="95"/>
      <c r="BU116" s="95"/>
      <c r="BV116" s="95"/>
      <c r="BW116" s="94"/>
      <c r="BX116" s="346"/>
      <c r="BY116" s="93"/>
      <c r="BZ116" s="94"/>
      <c r="CA116" s="94"/>
      <c r="CB116" s="330"/>
      <c r="CC116" s="347"/>
      <c r="CD116" s="92"/>
      <c r="CE116" s="94"/>
      <c r="CF116" s="95"/>
      <c r="CG116" s="95"/>
      <c r="CH116" s="95"/>
      <c r="CI116" s="94"/>
    </row>
    <row r="117" spans="1:87" x14ac:dyDescent="0.2">
      <c r="A117" s="8">
        <v>108</v>
      </c>
      <c r="B117" s="1125">
        <f>'Membership Record'!B118</f>
        <v>0</v>
      </c>
      <c r="C117" s="1125"/>
      <c r="D117" s="87">
        <f>'Membership Record'!G118+'Membership Record'!P118</f>
        <v>0</v>
      </c>
      <c r="E117" s="350">
        <f t="shared" si="13"/>
        <v>0</v>
      </c>
      <c r="F117" s="614">
        <f>'Membership Record'!H118+'Membership Record'!Q118</f>
        <v>0</v>
      </c>
      <c r="G117" s="615">
        <f t="shared" si="14"/>
        <v>0</v>
      </c>
      <c r="H117" s="614">
        <f>'Membership Record'!I118+'Membership Record'!R118</f>
        <v>0</v>
      </c>
      <c r="I117" s="616">
        <f t="shared" si="15"/>
        <v>0</v>
      </c>
      <c r="J117" s="614">
        <f>'Membership Record'!J118+'Membership Record'!S118</f>
        <v>0</v>
      </c>
      <c r="K117" s="618">
        <f t="shared" si="16"/>
        <v>0</v>
      </c>
      <c r="L117" s="618">
        <f>'Membership Record'!K118+'Membership Record'!T118</f>
        <v>0</v>
      </c>
      <c r="M117" s="615">
        <f t="shared" si="17"/>
        <v>0</v>
      </c>
      <c r="N117" s="614">
        <f>'Membership Record'!L118+'Membership Record'!U118</f>
        <v>0</v>
      </c>
      <c r="O117" s="619">
        <f t="shared" si="18"/>
        <v>0</v>
      </c>
      <c r="P117" s="346"/>
      <c r="Q117" s="93"/>
      <c r="R117" s="94"/>
      <c r="S117" s="94"/>
      <c r="T117" s="330"/>
      <c r="U117" s="347"/>
      <c r="V117" s="92"/>
      <c r="W117" s="94"/>
      <c r="X117" s="95"/>
      <c r="Y117" s="95"/>
      <c r="Z117" s="95"/>
      <c r="AA117" s="94"/>
      <c r="AB117" s="346"/>
      <c r="AC117" s="93"/>
      <c r="AD117" s="94"/>
      <c r="AE117" s="94"/>
      <c r="AF117" s="330"/>
      <c r="AG117" s="347"/>
      <c r="AH117" s="92"/>
      <c r="AI117" s="94"/>
      <c r="AJ117" s="95"/>
      <c r="AK117" s="95"/>
      <c r="AL117" s="95"/>
      <c r="AM117" s="94"/>
      <c r="AN117" s="346"/>
      <c r="AO117" s="93"/>
      <c r="AP117" s="94"/>
      <c r="AQ117" s="94"/>
      <c r="AR117" s="330"/>
      <c r="AS117" s="347"/>
      <c r="AT117" s="92"/>
      <c r="AU117" s="94"/>
      <c r="AV117" s="95"/>
      <c r="AW117" s="95"/>
      <c r="AX117" s="95"/>
      <c r="AY117" s="94"/>
      <c r="AZ117" s="346"/>
      <c r="BA117" s="93"/>
      <c r="BB117" s="94"/>
      <c r="BC117" s="94"/>
      <c r="BD117" s="330"/>
      <c r="BE117" s="347"/>
      <c r="BF117" s="92"/>
      <c r="BG117" s="94"/>
      <c r="BH117" s="95"/>
      <c r="BI117" s="95"/>
      <c r="BJ117" s="95"/>
      <c r="BK117" s="94"/>
      <c r="BL117" s="346"/>
      <c r="BM117" s="93"/>
      <c r="BN117" s="94"/>
      <c r="BO117" s="94"/>
      <c r="BP117" s="330"/>
      <c r="BQ117" s="347"/>
      <c r="BR117" s="92"/>
      <c r="BS117" s="94"/>
      <c r="BT117" s="95"/>
      <c r="BU117" s="95"/>
      <c r="BV117" s="95"/>
      <c r="BW117" s="94"/>
      <c r="BX117" s="346"/>
      <c r="BY117" s="93"/>
      <c r="BZ117" s="94"/>
      <c r="CA117" s="94"/>
      <c r="CB117" s="330"/>
      <c r="CC117" s="347"/>
      <c r="CD117" s="92"/>
      <c r="CE117" s="94"/>
      <c r="CF117" s="95"/>
      <c r="CG117" s="95"/>
      <c r="CH117" s="95"/>
      <c r="CI117" s="94"/>
    </row>
    <row r="118" spans="1:87" x14ac:dyDescent="0.2">
      <c r="A118" s="8">
        <v>109</v>
      </c>
      <c r="B118" s="1125">
        <f>'Membership Record'!B119</f>
        <v>0</v>
      </c>
      <c r="C118" s="1125"/>
      <c r="D118" s="87">
        <f>'Membership Record'!G119+'Membership Record'!P119</f>
        <v>0</v>
      </c>
      <c r="E118" s="350">
        <f t="shared" si="13"/>
        <v>0</v>
      </c>
      <c r="F118" s="614">
        <f>'Membership Record'!H119+'Membership Record'!Q119</f>
        <v>0</v>
      </c>
      <c r="G118" s="615">
        <f t="shared" si="14"/>
        <v>0</v>
      </c>
      <c r="H118" s="614">
        <f>'Membership Record'!I119+'Membership Record'!R119</f>
        <v>0</v>
      </c>
      <c r="I118" s="616">
        <f t="shared" si="15"/>
        <v>0</v>
      </c>
      <c r="J118" s="614">
        <f>'Membership Record'!J119+'Membership Record'!S119</f>
        <v>0</v>
      </c>
      <c r="K118" s="618">
        <f t="shared" si="16"/>
        <v>0</v>
      </c>
      <c r="L118" s="618">
        <f>'Membership Record'!K119+'Membership Record'!T119</f>
        <v>0</v>
      </c>
      <c r="M118" s="615">
        <f t="shared" si="17"/>
        <v>0</v>
      </c>
      <c r="N118" s="614">
        <f>'Membership Record'!L119+'Membership Record'!U119</f>
        <v>0</v>
      </c>
      <c r="O118" s="619">
        <f t="shared" si="18"/>
        <v>0</v>
      </c>
      <c r="P118" s="346"/>
      <c r="Q118" s="93"/>
      <c r="R118" s="94"/>
      <c r="S118" s="94"/>
      <c r="T118" s="330"/>
      <c r="U118" s="347"/>
      <c r="V118" s="92"/>
      <c r="W118" s="94"/>
      <c r="X118" s="95"/>
      <c r="Y118" s="95"/>
      <c r="Z118" s="95"/>
      <c r="AA118" s="94"/>
      <c r="AB118" s="346"/>
      <c r="AC118" s="93"/>
      <c r="AD118" s="94"/>
      <c r="AE118" s="94"/>
      <c r="AF118" s="330"/>
      <c r="AG118" s="347"/>
      <c r="AH118" s="92"/>
      <c r="AI118" s="94"/>
      <c r="AJ118" s="95"/>
      <c r="AK118" s="95"/>
      <c r="AL118" s="95"/>
      <c r="AM118" s="94"/>
      <c r="AN118" s="346"/>
      <c r="AO118" s="93"/>
      <c r="AP118" s="94"/>
      <c r="AQ118" s="94"/>
      <c r="AR118" s="330"/>
      <c r="AS118" s="347"/>
      <c r="AT118" s="92"/>
      <c r="AU118" s="94"/>
      <c r="AV118" s="95"/>
      <c r="AW118" s="95"/>
      <c r="AX118" s="95"/>
      <c r="AY118" s="94"/>
      <c r="AZ118" s="346"/>
      <c r="BA118" s="93"/>
      <c r="BB118" s="94"/>
      <c r="BC118" s="94"/>
      <c r="BD118" s="330"/>
      <c r="BE118" s="347"/>
      <c r="BF118" s="92"/>
      <c r="BG118" s="94"/>
      <c r="BH118" s="95"/>
      <c r="BI118" s="95"/>
      <c r="BJ118" s="95"/>
      <c r="BK118" s="94"/>
      <c r="BL118" s="346"/>
      <c r="BM118" s="93"/>
      <c r="BN118" s="94"/>
      <c r="BO118" s="94"/>
      <c r="BP118" s="330"/>
      <c r="BQ118" s="347"/>
      <c r="BR118" s="92"/>
      <c r="BS118" s="94"/>
      <c r="BT118" s="95"/>
      <c r="BU118" s="95"/>
      <c r="BV118" s="95"/>
      <c r="BW118" s="94"/>
      <c r="BX118" s="346"/>
      <c r="BY118" s="93"/>
      <c r="BZ118" s="94"/>
      <c r="CA118" s="94"/>
      <c r="CB118" s="330"/>
      <c r="CC118" s="347"/>
      <c r="CD118" s="92"/>
      <c r="CE118" s="94"/>
      <c r="CF118" s="95"/>
      <c r="CG118" s="95"/>
      <c r="CH118" s="95"/>
      <c r="CI118" s="94"/>
    </row>
    <row r="119" spans="1:87" x14ac:dyDescent="0.2">
      <c r="A119" s="8">
        <v>110</v>
      </c>
      <c r="B119" s="1125">
        <f>'Membership Record'!B120</f>
        <v>0</v>
      </c>
      <c r="C119" s="1125"/>
      <c r="D119" s="87">
        <f>'Membership Record'!G120+'Membership Record'!P120</f>
        <v>0</v>
      </c>
      <c r="E119" s="350">
        <f t="shared" si="13"/>
        <v>0</v>
      </c>
      <c r="F119" s="614">
        <f>'Membership Record'!H120+'Membership Record'!Q120</f>
        <v>0</v>
      </c>
      <c r="G119" s="615">
        <f t="shared" si="14"/>
        <v>0</v>
      </c>
      <c r="H119" s="614">
        <f>'Membership Record'!I120+'Membership Record'!R120</f>
        <v>0</v>
      </c>
      <c r="I119" s="616">
        <f t="shared" si="15"/>
        <v>0</v>
      </c>
      <c r="J119" s="614">
        <f>'Membership Record'!J120+'Membership Record'!S120</f>
        <v>0</v>
      </c>
      <c r="K119" s="618">
        <f t="shared" si="16"/>
        <v>0</v>
      </c>
      <c r="L119" s="618">
        <f>'Membership Record'!K120+'Membership Record'!T120</f>
        <v>0</v>
      </c>
      <c r="M119" s="615">
        <f t="shared" si="17"/>
        <v>0</v>
      </c>
      <c r="N119" s="614">
        <f>'Membership Record'!L120+'Membership Record'!U120</f>
        <v>0</v>
      </c>
      <c r="O119" s="619">
        <f t="shared" si="18"/>
        <v>0</v>
      </c>
      <c r="P119" s="346"/>
      <c r="Q119" s="93"/>
      <c r="R119" s="94"/>
      <c r="S119" s="94"/>
      <c r="T119" s="330"/>
      <c r="U119" s="347"/>
      <c r="V119" s="92"/>
      <c r="W119" s="94"/>
      <c r="X119" s="95"/>
      <c r="Y119" s="95"/>
      <c r="Z119" s="95"/>
      <c r="AA119" s="94"/>
      <c r="AB119" s="346"/>
      <c r="AC119" s="93"/>
      <c r="AD119" s="94"/>
      <c r="AE119" s="94"/>
      <c r="AF119" s="330"/>
      <c r="AG119" s="347"/>
      <c r="AH119" s="92"/>
      <c r="AI119" s="94"/>
      <c r="AJ119" s="95"/>
      <c r="AK119" s="95"/>
      <c r="AL119" s="95"/>
      <c r="AM119" s="94"/>
      <c r="AN119" s="346"/>
      <c r="AO119" s="93"/>
      <c r="AP119" s="94"/>
      <c r="AQ119" s="94"/>
      <c r="AR119" s="330"/>
      <c r="AS119" s="347"/>
      <c r="AT119" s="92"/>
      <c r="AU119" s="94"/>
      <c r="AV119" s="95"/>
      <c r="AW119" s="95"/>
      <c r="AX119" s="95"/>
      <c r="AY119" s="94"/>
      <c r="AZ119" s="346"/>
      <c r="BA119" s="93"/>
      <c r="BB119" s="94"/>
      <c r="BC119" s="94"/>
      <c r="BD119" s="330"/>
      <c r="BE119" s="347"/>
      <c r="BF119" s="92"/>
      <c r="BG119" s="94"/>
      <c r="BH119" s="95"/>
      <c r="BI119" s="95"/>
      <c r="BJ119" s="95"/>
      <c r="BK119" s="94"/>
      <c r="BL119" s="346"/>
      <c r="BM119" s="93"/>
      <c r="BN119" s="94"/>
      <c r="BO119" s="94"/>
      <c r="BP119" s="330"/>
      <c r="BQ119" s="347"/>
      <c r="BR119" s="92"/>
      <c r="BS119" s="94"/>
      <c r="BT119" s="95"/>
      <c r="BU119" s="95"/>
      <c r="BV119" s="95"/>
      <c r="BW119" s="94"/>
      <c r="BX119" s="346"/>
      <c r="BY119" s="93"/>
      <c r="BZ119" s="94"/>
      <c r="CA119" s="94"/>
      <c r="CB119" s="330"/>
      <c r="CC119" s="347"/>
      <c r="CD119" s="92"/>
      <c r="CE119" s="94"/>
      <c r="CF119" s="95"/>
      <c r="CG119" s="95"/>
      <c r="CH119" s="95"/>
      <c r="CI119" s="94"/>
    </row>
    <row r="120" spans="1:87" x14ac:dyDescent="0.2">
      <c r="A120" s="8">
        <v>111</v>
      </c>
      <c r="B120" s="1125">
        <f>'Membership Record'!B121</f>
        <v>0</v>
      </c>
      <c r="C120" s="1125"/>
      <c r="D120" s="87">
        <f>'Membership Record'!G121+'Membership Record'!P121</f>
        <v>0</v>
      </c>
      <c r="E120" s="350">
        <f t="shared" si="13"/>
        <v>0</v>
      </c>
      <c r="F120" s="614">
        <f>'Membership Record'!H121+'Membership Record'!Q121</f>
        <v>0</v>
      </c>
      <c r="G120" s="615">
        <f t="shared" si="14"/>
        <v>0</v>
      </c>
      <c r="H120" s="614">
        <f>'Membership Record'!I121+'Membership Record'!R121</f>
        <v>0</v>
      </c>
      <c r="I120" s="616">
        <f t="shared" si="15"/>
        <v>0</v>
      </c>
      <c r="J120" s="614">
        <f>'Membership Record'!J121+'Membership Record'!S121</f>
        <v>0</v>
      </c>
      <c r="K120" s="618">
        <f t="shared" si="16"/>
        <v>0</v>
      </c>
      <c r="L120" s="618">
        <f>'Membership Record'!K121+'Membership Record'!T121</f>
        <v>0</v>
      </c>
      <c r="M120" s="615">
        <f t="shared" si="17"/>
        <v>0</v>
      </c>
      <c r="N120" s="614">
        <f>'Membership Record'!L121+'Membership Record'!U121</f>
        <v>0</v>
      </c>
      <c r="O120" s="619">
        <f t="shared" si="18"/>
        <v>0</v>
      </c>
      <c r="P120" s="346"/>
      <c r="Q120" s="93"/>
      <c r="R120" s="94"/>
      <c r="S120" s="94"/>
      <c r="T120" s="330"/>
      <c r="U120" s="347"/>
      <c r="V120" s="92"/>
      <c r="W120" s="94"/>
      <c r="X120" s="95"/>
      <c r="Y120" s="95"/>
      <c r="Z120" s="95"/>
      <c r="AA120" s="94"/>
      <c r="AB120" s="346"/>
      <c r="AC120" s="93"/>
      <c r="AD120" s="94"/>
      <c r="AE120" s="94"/>
      <c r="AF120" s="330"/>
      <c r="AG120" s="347"/>
      <c r="AH120" s="92"/>
      <c r="AI120" s="94"/>
      <c r="AJ120" s="95"/>
      <c r="AK120" s="95"/>
      <c r="AL120" s="95"/>
      <c r="AM120" s="94"/>
      <c r="AN120" s="346"/>
      <c r="AO120" s="93"/>
      <c r="AP120" s="94"/>
      <c r="AQ120" s="94"/>
      <c r="AR120" s="330"/>
      <c r="AS120" s="347"/>
      <c r="AT120" s="92"/>
      <c r="AU120" s="94"/>
      <c r="AV120" s="95"/>
      <c r="AW120" s="95"/>
      <c r="AX120" s="95"/>
      <c r="AY120" s="94"/>
      <c r="AZ120" s="346"/>
      <c r="BA120" s="93"/>
      <c r="BB120" s="94"/>
      <c r="BC120" s="94"/>
      <c r="BD120" s="330"/>
      <c r="BE120" s="347"/>
      <c r="BF120" s="92"/>
      <c r="BG120" s="94"/>
      <c r="BH120" s="95"/>
      <c r="BI120" s="95"/>
      <c r="BJ120" s="95"/>
      <c r="BK120" s="94"/>
      <c r="BL120" s="346"/>
      <c r="BM120" s="93"/>
      <c r="BN120" s="94"/>
      <c r="BO120" s="94"/>
      <c r="BP120" s="330"/>
      <c r="BQ120" s="347"/>
      <c r="BR120" s="92"/>
      <c r="BS120" s="94"/>
      <c r="BT120" s="95"/>
      <c r="BU120" s="95"/>
      <c r="BV120" s="95"/>
      <c r="BW120" s="94"/>
      <c r="BX120" s="346"/>
      <c r="BY120" s="93"/>
      <c r="BZ120" s="94"/>
      <c r="CA120" s="94"/>
      <c r="CB120" s="330"/>
      <c r="CC120" s="347"/>
      <c r="CD120" s="92"/>
      <c r="CE120" s="94"/>
      <c r="CF120" s="95"/>
      <c r="CG120" s="95"/>
      <c r="CH120" s="95"/>
      <c r="CI120" s="94"/>
    </row>
    <row r="121" spans="1:87" x14ac:dyDescent="0.2">
      <c r="A121" s="8">
        <v>112</v>
      </c>
      <c r="B121" s="1125">
        <f>'Membership Record'!B122</f>
        <v>0</v>
      </c>
      <c r="C121" s="1125"/>
      <c r="D121" s="87">
        <f>'Membership Record'!G122+'Membership Record'!P122</f>
        <v>0</v>
      </c>
      <c r="E121" s="350">
        <f t="shared" si="13"/>
        <v>0</v>
      </c>
      <c r="F121" s="614">
        <f>'Membership Record'!H122+'Membership Record'!Q122</f>
        <v>0</v>
      </c>
      <c r="G121" s="615">
        <f t="shared" si="14"/>
        <v>0</v>
      </c>
      <c r="H121" s="614">
        <f>'Membership Record'!I122+'Membership Record'!R122</f>
        <v>0</v>
      </c>
      <c r="I121" s="616">
        <f t="shared" si="15"/>
        <v>0</v>
      </c>
      <c r="J121" s="614">
        <f>'Membership Record'!J122+'Membership Record'!S122</f>
        <v>0</v>
      </c>
      <c r="K121" s="618">
        <f t="shared" si="16"/>
        <v>0</v>
      </c>
      <c r="L121" s="618">
        <f>'Membership Record'!K122+'Membership Record'!T122</f>
        <v>0</v>
      </c>
      <c r="M121" s="615">
        <f t="shared" si="17"/>
        <v>0</v>
      </c>
      <c r="N121" s="614">
        <f>'Membership Record'!L122+'Membership Record'!U122</f>
        <v>0</v>
      </c>
      <c r="O121" s="619">
        <f t="shared" si="18"/>
        <v>0</v>
      </c>
      <c r="P121" s="346"/>
      <c r="Q121" s="93"/>
      <c r="R121" s="94"/>
      <c r="S121" s="94"/>
      <c r="T121" s="330"/>
      <c r="U121" s="347"/>
      <c r="V121" s="92"/>
      <c r="W121" s="94"/>
      <c r="X121" s="95"/>
      <c r="Y121" s="95"/>
      <c r="Z121" s="95"/>
      <c r="AA121" s="94"/>
      <c r="AB121" s="346"/>
      <c r="AC121" s="93"/>
      <c r="AD121" s="94"/>
      <c r="AE121" s="94"/>
      <c r="AF121" s="330"/>
      <c r="AG121" s="347"/>
      <c r="AH121" s="92"/>
      <c r="AI121" s="94"/>
      <c r="AJ121" s="95"/>
      <c r="AK121" s="95"/>
      <c r="AL121" s="95"/>
      <c r="AM121" s="94"/>
      <c r="AN121" s="346"/>
      <c r="AO121" s="93"/>
      <c r="AP121" s="94"/>
      <c r="AQ121" s="94"/>
      <c r="AR121" s="330"/>
      <c r="AS121" s="347"/>
      <c r="AT121" s="92"/>
      <c r="AU121" s="94"/>
      <c r="AV121" s="95"/>
      <c r="AW121" s="95"/>
      <c r="AX121" s="95"/>
      <c r="AY121" s="94"/>
      <c r="AZ121" s="346"/>
      <c r="BA121" s="93"/>
      <c r="BB121" s="94"/>
      <c r="BC121" s="94"/>
      <c r="BD121" s="330"/>
      <c r="BE121" s="347"/>
      <c r="BF121" s="92"/>
      <c r="BG121" s="94"/>
      <c r="BH121" s="95"/>
      <c r="BI121" s="95"/>
      <c r="BJ121" s="95"/>
      <c r="BK121" s="94"/>
      <c r="BL121" s="346"/>
      <c r="BM121" s="93"/>
      <c r="BN121" s="94"/>
      <c r="BO121" s="94"/>
      <c r="BP121" s="330"/>
      <c r="BQ121" s="347"/>
      <c r="BR121" s="92"/>
      <c r="BS121" s="94"/>
      <c r="BT121" s="95"/>
      <c r="BU121" s="95"/>
      <c r="BV121" s="95"/>
      <c r="BW121" s="94"/>
      <c r="BX121" s="346"/>
      <c r="BY121" s="93"/>
      <c r="BZ121" s="94"/>
      <c r="CA121" s="94"/>
      <c r="CB121" s="330"/>
      <c r="CC121" s="347"/>
      <c r="CD121" s="92"/>
      <c r="CE121" s="94"/>
      <c r="CF121" s="95"/>
      <c r="CG121" s="95"/>
      <c r="CH121" s="95"/>
      <c r="CI121" s="94"/>
    </row>
    <row r="122" spans="1:87" x14ac:dyDescent="0.2">
      <c r="A122" s="8">
        <v>113</v>
      </c>
      <c r="B122" s="1125">
        <f>'Membership Record'!B123</f>
        <v>0</v>
      </c>
      <c r="C122" s="1125"/>
      <c r="D122" s="87">
        <f>'Membership Record'!G123+'Membership Record'!P123</f>
        <v>0</v>
      </c>
      <c r="E122" s="350">
        <f t="shared" si="13"/>
        <v>0</v>
      </c>
      <c r="F122" s="614">
        <f>'Membership Record'!H123+'Membership Record'!Q123</f>
        <v>0</v>
      </c>
      <c r="G122" s="615">
        <f t="shared" si="14"/>
        <v>0</v>
      </c>
      <c r="H122" s="614">
        <f>'Membership Record'!I123+'Membership Record'!R123</f>
        <v>0</v>
      </c>
      <c r="I122" s="616">
        <f t="shared" si="15"/>
        <v>0</v>
      </c>
      <c r="J122" s="614">
        <f>'Membership Record'!J123+'Membership Record'!S123</f>
        <v>0</v>
      </c>
      <c r="K122" s="618">
        <f t="shared" si="16"/>
        <v>0</v>
      </c>
      <c r="L122" s="618">
        <f>'Membership Record'!K123+'Membership Record'!T123</f>
        <v>0</v>
      </c>
      <c r="M122" s="615">
        <f t="shared" si="17"/>
        <v>0</v>
      </c>
      <c r="N122" s="614">
        <f>'Membership Record'!L123+'Membership Record'!U123</f>
        <v>0</v>
      </c>
      <c r="O122" s="619">
        <f t="shared" si="18"/>
        <v>0</v>
      </c>
      <c r="P122" s="346"/>
      <c r="Q122" s="93"/>
      <c r="R122" s="94"/>
      <c r="S122" s="94"/>
      <c r="T122" s="330"/>
      <c r="U122" s="347"/>
      <c r="V122" s="92"/>
      <c r="W122" s="94"/>
      <c r="X122" s="95"/>
      <c r="Y122" s="95"/>
      <c r="Z122" s="95"/>
      <c r="AA122" s="94"/>
      <c r="AB122" s="346"/>
      <c r="AC122" s="93"/>
      <c r="AD122" s="94"/>
      <c r="AE122" s="94"/>
      <c r="AF122" s="330"/>
      <c r="AG122" s="347"/>
      <c r="AH122" s="92"/>
      <c r="AI122" s="94"/>
      <c r="AJ122" s="95"/>
      <c r="AK122" s="95"/>
      <c r="AL122" s="95"/>
      <c r="AM122" s="94"/>
      <c r="AN122" s="346"/>
      <c r="AO122" s="93"/>
      <c r="AP122" s="94"/>
      <c r="AQ122" s="94"/>
      <c r="AR122" s="330"/>
      <c r="AS122" s="347"/>
      <c r="AT122" s="92"/>
      <c r="AU122" s="94"/>
      <c r="AV122" s="95"/>
      <c r="AW122" s="95"/>
      <c r="AX122" s="95"/>
      <c r="AY122" s="94"/>
      <c r="AZ122" s="346"/>
      <c r="BA122" s="93"/>
      <c r="BB122" s="94"/>
      <c r="BC122" s="94"/>
      <c r="BD122" s="330"/>
      <c r="BE122" s="347"/>
      <c r="BF122" s="92"/>
      <c r="BG122" s="94"/>
      <c r="BH122" s="95"/>
      <c r="BI122" s="95"/>
      <c r="BJ122" s="95"/>
      <c r="BK122" s="94"/>
      <c r="BL122" s="346"/>
      <c r="BM122" s="93"/>
      <c r="BN122" s="94"/>
      <c r="BO122" s="94"/>
      <c r="BP122" s="330"/>
      <c r="BQ122" s="347"/>
      <c r="BR122" s="92"/>
      <c r="BS122" s="94"/>
      <c r="BT122" s="95"/>
      <c r="BU122" s="95"/>
      <c r="BV122" s="95"/>
      <c r="BW122" s="94"/>
      <c r="BX122" s="346"/>
      <c r="BY122" s="93"/>
      <c r="BZ122" s="94"/>
      <c r="CA122" s="94"/>
      <c r="CB122" s="330"/>
      <c r="CC122" s="347"/>
      <c r="CD122" s="92"/>
      <c r="CE122" s="94"/>
      <c r="CF122" s="95"/>
      <c r="CG122" s="95"/>
      <c r="CH122" s="95"/>
      <c r="CI122" s="94"/>
    </row>
    <row r="123" spans="1:87" x14ac:dyDescent="0.2">
      <c r="A123" s="8">
        <v>114</v>
      </c>
      <c r="B123" s="1125">
        <f>'Membership Record'!B124</f>
        <v>0</v>
      </c>
      <c r="C123" s="1125"/>
      <c r="D123" s="87">
        <f>'Membership Record'!G124+'Membership Record'!P124</f>
        <v>0</v>
      </c>
      <c r="E123" s="350">
        <f t="shared" si="13"/>
        <v>0</v>
      </c>
      <c r="F123" s="614">
        <f>'Membership Record'!H124+'Membership Record'!Q124</f>
        <v>0</v>
      </c>
      <c r="G123" s="615">
        <f t="shared" si="14"/>
        <v>0</v>
      </c>
      <c r="H123" s="614">
        <f>'Membership Record'!I124+'Membership Record'!R124</f>
        <v>0</v>
      </c>
      <c r="I123" s="616">
        <f t="shared" si="15"/>
        <v>0</v>
      </c>
      <c r="J123" s="614">
        <f>'Membership Record'!J124+'Membership Record'!S124</f>
        <v>0</v>
      </c>
      <c r="K123" s="618">
        <f t="shared" si="16"/>
        <v>0</v>
      </c>
      <c r="L123" s="618">
        <f>'Membership Record'!K124+'Membership Record'!T124</f>
        <v>0</v>
      </c>
      <c r="M123" s="615">
        <f t="shared" si="17"/>
        <v>0</v>
      </c>
      <c r="N123" s="614">
        <f>'Membership Record'!L124+'Membership Record'!U124</f>
        <v>0</v>
      </c>
      <c r="O123" s="619">
        <f t="shared" si="18"/>
        <v>0</v>
      </c>
      <c r="P123" s="346"/>
      <c r="Q123" s="93"/>
      <c r="R123" s="94"/>
      <c r="S123" s="94"/>
      <c r="T123" s="330"/>
      <c r="U123" s="347"/>
      <c r="V123" s="92"/>
      <c r="W123" s="94"/>
      <c r="X123" s="95"/>
      <c r="Y123" s="95"/>
      <c r="Z123" s="95"/>
      <c r="AA123" s="94"/>
      <c r="AB123" s="346"/>
      <c r="AC123" s="93"/>
      <c r="AD123" s="94"/>
      <c r="AE123" s="94"/>
      <c r="AF123" s="330"/>
      <c r="AG123" s="347"/>
      <c r="AH123" s="92"/>
      <c r="AI123" s="94"/>
      <c r="AJ123" s="95"/>
      <c r="AK123" s="95"/>
      <c r="AL123" s="95"/>
      <c r="AM123" s="94"/>
      <c r="AN123" s="346"/>
      <c r="AO123" s="93"/>
      <c r="AP123" s="94"/>
      <c r="AQ123" s="94"/>
      <c r="AR123" s="330"/>
      <c r="AS123" s="347"/>
      <c r="AT123" s="92"/>
      <c r="AU123" s="94"/>
      <c r="AV123" s="95"/>
      <c r="AW123" s="95"/>
      <c r="AX123" s="95"/>
      <c r="AY123" s="94"/>
      <c r="AZ123" s="346"/>
      <c r="BA123" s="93"/>
      <c r="BB123" s="94"/>
      <c r="BC123" s="94"/>
      <c r="BD123" s="330"/>
      <c r="BE123" s="347"/>
      <c r="BF123" s="92"/>
      <c r="BG123" s="94"/>
      <c r="BH123" s="95"/>
      <c r="BI123" s="95"/>
      <c r="BJ123" s="95"/>
      <c r="BK123" s="94"/>
      <c r="BL123" s="346"/>
      <c r="BM123" s="93"/>
      <c r="BN123" s="94"/>
      <c r="BO123" s="94"/>
      <c r="BP123" s="330"/>
      <c r="BQ123" s="347"/>
      <c r="BR123" s="92"/>
      <c r="BS123" s="94"/>
      <c r="BT123" s="95"/>
      <c r="BU123" s="95"/>
      <c r="BV123" s="95"/>
      <c r="BW123" s="94"/>
      <c r="BX123" s="346"/>
      <c r="BY123" s="93"/>
      <c r="BZ123" s="94"/>
      <c r="CA123" s="94"/>
      <c r="CB123" s="330"/>
      <c r="CC123" s="347"/>
      <c r="CD123" s="92"/>
      <c r="CE123" s="94"/>
      <c r="CF123" s="95"/>
      <c r="CG123" s="95"/>
      <c r="CH123" s="95"/>
      <c r="CI123" s="94"/>
    </row>
    <row r="124" spans="1:87" x14ac:dyDescent="0.2">
      <c r="A124" s="8">
        <v>115</v>
      </c>
      <c r="B124" s="1125">
        <f>'Membership Record'!B125</f>
        <v>0</v>
      </c>
      <c r="C124" s="1125"/>
      <c r="D124" s="87">
        <f>'Membership Record'!G125+'Membership Record'!P125</f>
        <v>0</v>
      </c>
      <c r="E124" s="350">
        <f t="shared" si="13"/>
        <v>0</v>
      </c>
      <c r="F124" s="614">
        <f>'Membership Record'!H125+'Membership Record'!Q125</f>
        <v>0</v>
      </c>
      <c r="G124" s="615">
        <f t="shared" si="14"/>
        <v>0</v>
      </c>
      <c r="H124" s="614">
        <f>'Membership Record'!I125+'Membership Record'!R125</f>
        <v>0</v>
      </c>
      <c r="I124" s="616">
        <f t="shared" si="15"/>
        <v>0</v>
      </c>
      <c r="J124" s="614">
        <f>'Membership Record'!J125+'Membership Record'!S125</f>
        <v>0</v>
      </c>
      <c r="K124" s="618">
        <f t="shared" si="16"/>
        <v>0</v>
      </c>
      <c r="L124" s="618">
        <f>'Membership Record'!K125+'Membership Record'!T125</f>
        <v>0</v>
      </c>
      <c r="M124" s="615">
        <f t="shared" si="17"/>
        <v>0</v>
      </c>
      <c r="N124" s="614">
        <f>'Membership Record'!L125+'Membership Record'!U125</f>
        <v>0</v>
      </c>
      <c r="O124" s="619">
        <f t="shared" si="18"/>
        <v>0</v>
      </c>
      <c r="P124" s="346"/>
      <c r="Q124" s="93"/>
      <c r="R124" s="94"/>
      <c r="S124" s="94"/>
      <c r="T124" s="330"/>
      <c r="U124" s="347"/>
      <c r="V124" s="92"/>
      <c r="W124" s="94"/>
      <c r="X124" s="95"/>
      <c r="Y124" s="95"/>
      <c r="Z124" s="95"/>
      <c r="AA124" s="94"/>
      <c r="AB124" s="346"/>
      <c r="AC124" s="93"/>
      <c r="AD124" s="94"/>
      <c r="AE124" s="94"/>
      <c r="AF124" s="330"/>
      <c r="AG124" s="347"/>
      <c r="AH124" s="92"/>
      <c r="AI124" s="94"/>
      <c r="AJ124" s="95"/>
      <c r="AK124" s="95"/>
      <c r="AL124" s="95"/>
      <c r="AM124" s="94"/>
      <c r="AN124" s="346"/>
      <c r="AO124" s="93"/>
      <c r="AP124" s="94"/>
      <c r="AQ124" s="94"/>
      <c r="AR124" s="330"/>
      <c r="AS124" s="347"/>
      <c r="AT124" s="92"/>
      <c r="AU124" s="94"/>
      <c r="AV124" s="95"/>
      <c r="AW124" s="95"/>
      <c r="AX124" s="95"/>
      <c r="AY124" s="94"/>
      <c r="AZ124" s="346"/>
      <c r="BA124" s="93"/>
      <c r="BB124" s="94"/>
      <c r="BC124" s="94"/>
      <c r="BD124" s="330"/>
      <c r="BE124" s="347"/>
      <c r="BF124" s="92"/>
      <c r="BG124" s="94"/>
      <c r="BH124" s="95"/>
      <c r="BI124" s="95"/>
      <c r="BJ124" s="95"/>
      <c r="BK124" s="94"/>
      <c r="BL124" s="346"/>
      <c r="BM124" s="93"/>
      <c r="BN124" s="94"/>
      <c r="BO124" s="94"/>
      <c r="BP124" s="330"/>
      <c r="BQ124" s="347"/>
      <c r="BR124" s="92"/>
      <c r="BS124" s="94"/>
      <c r="BT124" s="95"/>
      <c r="BU124" s="95"/>
      <c r="BV124" s="95"/>
      <c r="BW124" s="94"/>
      <c r="BX124" s="346"/>
      <c r="BY124" s="93"/>
      <c r="BZ124" s="94"/>
      <c r="CA124" s="94"/>
      <c r="CB124" s="330"/>
      <c r="CC124" s="347"/>
      <c r="CD124" s="92"/>
      <c r="CE124" s="94"/>
      <c r="CF124" s="95"/>
      <c r="CG124" s="95"/>
      <c r="CH124" s="95"/>
      <c r="CI124" s="94"/>
    </row>
    <row r="125" spans="1:87" x14ac:dyDescent="0.2">
      <c r="A125" s="8">
        <v>116</v>
      </c>
      <c r="B125" s="1125">
        <f>'Membership Record'!B126</f>
        <v>0</v>
      </c>
      <c r="C125" s="1125"/>
      <c r="D125" s="87">
        <f>'Membership Record'!G126+'Membership Record'!P126</f>
        <v>0</v>
      </c>
      <c r="E125" s="350">
        <f t="shared" si="13"/>
        <v>0</v>
      </c>
      <c r="F125" s="614">
        <f>'Membership Record'!H126+'Membership Record'!Q126</f>
        <v>0</v>
      </c>
      <c r="G125" s="615">
        <f t="shared" si="14"/>
        <v>0</v>
      </c>
      <c r="H125" s="614">
        <f>'Membership Record'!I126+'Membership Record'!R126</f>
        <v>0</v>
      </c>
      <c r="I125" s="616">
        <f t="shared" si="15"/>
        <v>0</v>
      </c>
      <c r="J125" s="614">
        <f>'Membership Record'!J126+'Membership Record'!S126</f>
        <v>0</v>
      </c>
      <c r="K125" s="618">
        <f t="shared" si="16"/>
        <v>0</v>
      </c>
      <c r="L125" s="618">
        <f>'Membership Record'!K126+'Membership Record'!T126</f>
        <v>0</v>
      </c>
      <c r="M125" s="615">
        <f t="shared" si="17"/>
        <v>0</v>
      </c>
      <c r="N125" s="614">
        <f>'Membership Record'!L126+'Membership Record'!U126</f>
        <v>0</v>
      </c>
      <c r="O125" s="619">
        <f t="shared" si="18"/>
        <v>0</v>
      </c>
      <c r="P125" s="346"/>
      <c r="Q125" s="93"/>
      <c r="R125" s="94"/>
      <c r="S125" s="94"/>
      <c r="T125" s="330"/>
      <c r="U125" s="347"/>
      <c r="V125" s="92"/>
      <c r="W125" s="94"/>
      <c r="X125" s="95"/>
      <c r="Y125" s="95"/>
      <c r="Z125" s="95"/>
      <c r="AA125" s="94"/>
      <c r="AB125" s="346"/>
      <c r="AC125" s="93"/>
      <c r="AD125" s="94"/>
      <c r="AE125" s="94"/>
      <c r="AF125" s="330"/>
      <c r="AG125" s="347"/>
      <c r="AH125" s="92"/>
      <c r="AI125" s="94"/>
      <c r="AJ125" s="95"/>
      <c r="AK125" s="95"/>
      <c r="AL125" s="95"/>
      <c r="AM125" s="94"/>
      <c r="AN125" s="346"/>
      <c r="AO125" s="93"/>
      <c r="AP125" s="94"/>
      <c r="AQ125" s="94"/>
      <c r="AR125" s="330"/>
      <c r="AS125" s="347"/>
      <c r="AT125" s="92"/>
      <c r="AU125" s="94"/>
      <c r="AV125" s="95"/>
      <c r="AW125" s="95"/>
      <c r="AX125" s="95"/>
      <c r="AY125" s="94"/>
      <c r="AZ125" s="346"/>
      <c r="BA125" s="93"/>
      <c r="BB125" s="94"/>
      <c r="BC125" s="94"/>
      <c r="BD125" s="330"/>
      <c r="BE125" s="347"/>
      <c r="BF125" s="92"/>
      <c r="BG125" s="94"/>
      <c r="BH125" s="95"/>
      <c r="BI125" s="95"/>
      <c r="BJ125" s="95"/>
      <c r="BK125" s="94"/>
      <c r="BL125" s="346"/>
      <c r="BM125" s="93"/>
      <c r="BN125" s="94"/>
      <c r="BO125" s="94"/>
      <c r="BP125" s="330"/>
      <c r="BQ125" s="347"/>
      <c r="BR125" s="92"/>
      <c r="BS125" s="94"/>
      <c r="BT125" s="95"/>
      <c r="BU125" s="95"/>
      <c r="BV125" s="95"/>
      <c r="BW125" s="94"/>
      <c r="BX125" s="346"/>
      <c r="BY125" s="93"/>
      <c r="BZ125" s="94"/>
      <c r="CA125" s="94"/>
      <c r="CB125" s="330"/>
      <c r="CC125" s="347"/>
      <c r="CD125" s="92"/>
      <c r="CE125" s="94"/>
      <c r="CF125" s="95"/>
      <c r="CG125" s="95"/>
      <c r="CH125" s="95"/>
      <c r="CI125" s="94"/>
    </row>
    <row r="126" spans="1:87" x14ac:dyDescent="0.2">
      <c r="A126" s="8">
        <v>117</v>
      </c>
      <c r="B126" s="1125">
        <f>'Membership Record'!B127</f>
        <v>0</v>
      </c>
      <c r="C126" s="1125"/>
      <c r="D126" s="87">
        <f>'Membership Record'!G127+'Membership Record'!P127</f>
        <v>0</v>
      </c>
      <c r="E126" s="350">
        <f t="shared" si="13"/>
        <v>0</v>
      </c>
      <c r="F126" s="614">
        <f>'Membership Record'!H127+'Membership Record'!Q127</f>
        <v>0</v>
      </c>
      <c r="G126" s="615">
        <f t="shared" si="14"/>
        <v>0</v>
      </c>
      <c r="H126" s="614">
        <f>'Membership Record'!I127+'Membership Record'!R127</f>
        <v>0</v>
      </c>
      <c r="I126" s="616">
        <f t="shared" si="15"/>
        <v>0</v>
      </c>
      <c r="J126" s="614">
        <f>'Membership Record'!J127+'Membership Record'!S127</f>
        <v>0</v>
      </c>
      <c r="K126" s="618">
        <f t="shared" si="16"/>
        <v>0</v>
      </c>
      <c r="L126" s="618">
        <f>'Membership Record'!K127+'Membership Record'!T127</f>
        <v>0</v>
      </c>
      <c r="M126" s="615">
        <f t="shared" si="17"/>
        <v>0</v>
      </c>
      <c r="N126" s="614">
        <f>'Membership Record'!L127+'Membership Record'!U127</f>
        <v>0</v>
      </c>
      <c r="O126" s="619">
        <f t="shared" si="18"/>
        <v>0</v>
      </c>
      <c r="P126" s="346"/>
      <c r="Q126" s="93"/>
      <c r="R126" s="94"/>
      <c r="S126" s="94"/>
      <c r="T126" s="330"/>
      <c r="U126" s="347"/>
      <c r="V126" s="92"/>
      <c r="W126" s="94"/>
      <c r="X126" s="95"/>
      <c r="Y126" s="95"/>
      <c r="Z126" s="95"/>
      <c r="AA126" s="94"/>
      <c r="AB126" s="346"/>
      <c r="AC126" s="93"/>
      <c r="AD126" s="94"/>
      <c r="AE126" s="94"/>
      <c r="AF126" s="330"/>
      <c r="AG126" s="347"/>
      <c r="AH126" s="92"/>
      <c r="AI126" s="94"/>
      <c r="AJ126" s="95"/>
      <c r="AK126" s="95"/>
      <c r="AL126" s="95"/>
      <c r="AM126" s="94"/>
      <c r="AN126" s="346"/>
      <c r="AO126" s="93"/>
      <c r="AP126" s="94"/>
      <c r="AQ126" s="94"/>
      <c r="AR126" s="330"/>
      <c r="AS126" s="347"/>
      <c r="AT126" s="92"/>
      <c r="AU126" s="94"/>
      <c r="AV126" s="95"/>
      <c r="AW126" s="95"/>
      <c r="AX126" s="95"/>
      <c r="AY126" s="94"/>
      <c r="AZ126" s="346"/>
      <c r="BA126" s="93"/>
      <c r="BB126" s="94"/>
      <c r="BC126" s="94"/>
      <c r="BD126" s="330"/>
      <c r="BE126" s="347"/>
      <c r="BF126" s="92"/>
      <c r="BG126" s="94"/>
      <c r="BH126" s="95"/>
      <c r="BI126" s="95"/>
      <c r="BJ126" s="95"/>
      <c r="BK126" s="94"/>
      <c r="BL126" s="346"/>
      <c r="BM126" s="93"/>
      <c r="BN126" s="94"/>
      <c r="BO126" s="94"/>
      <c r="BP126" s="330"/>
      <c r="BQ126" s="347"/>
      <c r="BR126" s="92"/>
      <c r="BS126" s="94"/>
      <c r="BT126" s="95"/>
      <c r="BU126" s="95"/>
      <c r="BV126" s="95"/>
      <c r="BW126" s="94"/>
      <c r="BX126" s="346"/>
      <c r="BY126" s="93"/>
      <c r="BZ126" s="94"/>
      <c r="CA126" s="94"/>
      <c r="CB126" s="330"/>
      <c r="CC126" s="347"/>
      <c r="CD126" s="92"/>
      <c r="CE126" s="94"/>
      <c r="CF126" s="95"/>
      <c r="CG126" s="95"/>
      <c r="CH126" s="95"/>
      <c r="CI126" s="94"/>
    </row>
    <row r="127" spans="1:87" x14ac:dyDescent="0.2">
      <c r="A127" s="8">
        <v>118</v>
      </c>
      <c r="B127" s="1125">
        <f>'Membership Record'!B128</f>
        <v>0</v>
      </c>
      <c r="C127" s="1125"/>
      <c r="D127" s="87">
        <f>'Membership Record'!G128+'Membership Record'!P128</f>
        <v>0</v>
      </c>
      <c r="E127" s="350">
        <f t="shared" si="13"/>
        <v>0</v>
      </c>
      <c r="F127" s="614">
        <f>'Membership Record'!H128+'Membership Record'!Q128</f>
        <v>0</v>
      </c>
      <c r="G127" s="615">
        <f t="shared" si="14"/>
        <v>0</v>
      </c>
      <c r="H127" s="614">
        <f>'Membership Record'!I128+'Membership Record'!R128</f>
        <v>0</v>
      </c>
      <c r="I127" s="616">
        <f t="shared" si="15"/>
        <v>0</v>
      </c>
      <c r="J127" s="614">
        <f>'Membership Record'!J128+'Membership Record'!S128</f>
        <v>0</v>
      </c>
      <c r="K127" s="618">
        <f t="shared" si="16"/>
        <v>0</v>
      </c>
      <c r="L127" s="618">
        <f>'Membership Record'!K128+'Membership Record'!T128</f>
        <v>0</v>
      </c>
      <c r="M127" s="615">
        <f t="shared" si="17"/>
        <v>0</v>
      </c>
      <c r="N127" s="614">
        <f>'Membership Record'!L128+'Membership Record'!U128</f>
        <v>0</v>
      </c>
      <c r="O127" s="619">
        <f t="shared" si="18"/>
        <v>0</v>
      </c>
      <c r="P127" s="346"/>
      <c r="Q127" s="93"/>
      <c r="R127" s="94"/>
      <c r="S127" s="94"/>
      <c r="T127" s="330"/>
      <c r="U127" s="347"/>
      <c r="V127" s="92"/>
      <c r="W127" s="94"/>
      <c r="X127" s="95"/>
      <c r="Y127" s="95"/>
      <c r="Z127" s="95"/>
      <c r="AA127" s="94"/>
      <c r="AB127" s="346"/>
      <c r="AC127" s="93"/>
      <c r="AD127" s="94"/>
      <c r="AE127" s="94"/>
      <c r="AF127" s="330"/>
      <c r="AG127" s="347"/>
      <c r="AH127" s="92"/>
      <c r="AI127" s="94"/>
      <c r="AJ127" s="95"/>
      <c r="AK127" s="95"/>
      <c r="AL127" s="95"/>
      <c r="AM127" s="94"/>
      <c r="AN127" s="346"/>
      <c r="AO127" s="93"/>
      <c r="AP127" s="94"/>
      <c r="AQ127" s="94"/>
      <c r="AR127" s="330"/>
      <c r="AS127" s="347"/>
      <c r="AT127" s="92"/>
      <c r="AU127" s="94"/>
      <c r="AV127" s="95"/>
      <c r="AW127" s="95"/>
      <c r="AX127" s="95"/>
      <c r="AY127" s="94"/>
      <c r="AZ127" s="346"/>
      <c r="BA127" s="93"/>
      <c r="BB127" s="94"/>
      <c r="BC127" s="94"/>
      <c r="BD127" s="330"/>
      <c r="BE127" s="347"/>
      <c r="BF127" s="92"/>
      <c r="BG127" s="94"/>
      <c r="BH127" s="95"/>
      <c r="BI127" s="95"/>
      <c r="BJ127" s="95"/>
      <c r="BK127" s="94"/>
      <c r="BL127" s="346"/>
      <c r="BM127" s="93"/>
      <c r="BN127" s="94"/>
      <c r="BO127" s="94"/>
      <c r="BP127" s="330"/>
      <c r="BQ127" s="347"/>
      <c r="BR127" s="92"/>
      <c r="BS127" s="94"/>
      <c r="BT127" s="95"/>
      <c r="BU127" s="95"/>
      <c r="BV127" s="95"/>
      <c r="BW127" s="94"/>
      <c r="BX127" s="346"/>
      <c r="BY127" s="93"/>
      <c r="BZ127" s="94"/>
      <c r="CA127" s="94"/>
      <c r="CB127" s="330"/>
      <c r="CC127" s="347"/>
      <c r="CD127" s="92"/>
      <c r="CE127" s="94"/>
      <c r="CF127" s="95"/>
      <c r="CG127" s="95"/>
      <c r="CH127" s="95"/>
      <c r="CI127" s="94"/>
    </row>
    <row r="128" spans="1:87" x14ac:dyDescent="0.2">
      <c r="A128" s="8">
        <v>119</v>
      </c>
      <c r="B128" s="1125">
        <f>'Membership Record'!B129</f>
        <v>0</v>
      </c>
      <c r="C128" s="1125"/>
      <c r="D128" s="87">
        <f>'Membership Record'!G129+'Membership Record'!P129</f>
        <v>0</v>
      </c>
      <c r="E128" s="350">
        <f t="shared" si="13"/>
        <v>0</v>
      </c>
      <c r="F128" s="614">
        <f>'Membership Record'!H129+'Membership Record'!Q129</f>
        <v>0</v>
      </c>
      <c r="G128" s="615">
        <f t="shared" si="14"/>
        <v>0</v>
      </c>
      <c r="H128" s="614">
        <f>'Membership Record'!I129+'Membership Record'!R129</f>
        <v>0</v>
      </c>
      <c r="I128" s="616">
        <f t="shared" si="15"/>
        <v>0</v>
      </c>
      <c r="J128" s="614">
        <f>'Membership Record'!J129+'Membership Record'!S129</f>
        <v>0</v>
      </c>
      <c r="K128" s="618">
        <f t="shared" si="16"/>
        <v>0</v>
      </c>
      <c r="L128" s="618">
        <f>'Membership Record'!K129+'Membership Record'!T129</f>
        <v>0</v>
      </c>
      <c r="M128" s="615">
        <f t="shared" si="17"/>
        <v>0</v>
      </c>
      <c r="N128" s="614">
        <f>'Membership Record'!L129+'Membership Record'!U129</f>
        <v>0</v>
      </c>
      <c r="O128" s="619">
        <f t="shared" si="18"/>
        <v>0</v>
      </c>
      <c r="P128" s="346"/>
      <c r="Q128" s="93"/>
      <c r="R128" s="94"/>
      <c r="S128" s="94"/>
      <c r="T128" s="330"/>
      <c r="U128" s="347"/>
      <c r="V128" s="92"/>
      <c r="W128" s="94"/>
      <c r="X128" s="95"/>
      <c r="Y128" s="95"/>
      <c r="Z128" s="95"/>
      <c r="AA128" s="94"/>
      <c r="AB128" s="346"/>
      <c r="AC128" s="93"/>
      <c r="AD128" s="94"/>
      <c r="AE128" s="94"/>
      <c r="AF128" s="330"/>
      <c r="AG128" s="347"/>
      <c r="AH128" s="92"/>
      <c r="AI128" s="94"/>
      <c r="AJ128" s="95"/>
      <c r="AK128" s="95"/>
      <c r="AL128" s="95"/>
      <c r="AM128" s="94"/>
      <c r="AN128" s="346"/>
      <c r="AO128" s="93"/>
      <c r="AP128" s="94"/>
      <c r="AQ128" s="94"/>
      <c r="AR128" s="330"/>
      <c r="AS128" s="347"/>
      <c r="AT128" s="92"/>
      <c r="AU128" s="94"/>
      <c r="AV128" s="95"/>
      <c r="AW128" s="95"/>
      <c r="AX128" s="95"/>
      <c r="AY128" s="94"/>
      <c r="AZ128" s="346"/>
      <c r="BA128" s="93"/>
      <c r="BB128" s="94"/>
      <c r="BC128" s="94"/>
      <c r="BD128" s="330"/>
      <c r="BE128" s="347"/>
      <c r="BF128" s="92"/>
      <c r="BG128" s="94"/>
      <c r="BH128" s="95"/>
      <c r="BI128" s="95"/>
      <c r="BJ128" s="95"/>
      <c r="BK128" s="94"/>
      <c r="BL128" s="346"/>
      <c r="BM128" s="93"/>
      <c r="BN128" s="94"/>
      <c r="BO128" s="94"/>
      <c r="BP128" s="330"/>
      <c r="BQ128" s="347"/>
      <c r="BR128" s="92"/>
      <c r="BS128" s="94"/>
      <c r="BT128" s="95"/>
      <c r="BU128" s="95"/>
      <c r="BV128" s="95"/>
      <c r="BW128" s="94"/>
      <c r="BX128" s="346"/>
      <c r="BY128" s="93"/>
      <c r="BZ128" s="94"/>
      <c r="CA128" s="94"/>
      <c r="CB128" s="330"/>
      <c r="CC128" s="347"/>
      <c r="CD128" s="92"/>
      <c r="CE128" s="94"/>
      <c r="CF128" s="95"/>
      <c r="CG128" s="95"/>
      <c r="CH128" s="95"/>
      <c r="CI128" s="94"/>
    </row>
    <row r="129" spans="1:87" x14ac:dyDescent="0.2">
      <c r="A129" s="8">
        <v>120</v>
      </c>
      <c r="B129" s="1125">
        <f>'Membership Record'!B130</f>
        <v>0</v>
      </c>
      <c r="C129" s="1125"/>
      <c r="D129" s="87">
        <f>'Membership Record'!G130+'Membership Record'!P130</f>
        <v>0</v>
      </c>
      <c r="E129" s="350">
        <f t="shared" si="13"/>
        <v>0</v>
      </c>
      <c r="F129" s="614">
        <f>'Membership Record'!H130+'Membership Record'!Q130</f>
        <v>0</v>
      </c>
      <c r="G129" s="615">
        <f t="shared" si="14"/>
        <v>0</v>
      </c>
      <c r="H129" s="614">
        <f>'Membership Record'!I130+'Membership Record'!R130</f>
        <v>0</v>
      </c>
      <c r="I129" s="616">
        <f t="shared" si="15"/>
        <v>0</v>
      </c>
      <c r="J129" s="614">
        <f>'Membership Record'!J130+'Membership Record'!S130</f>
        <v>0</v>
      </c>
      <c r="K129" s="618">
        <f t="shared" si="16"/>
        <v>0</v>
      </c>
      <c r="L129" s="618">
        <f>'Membership Record'!K130+'Membership Record'!T130</f>
        <v>0</v>
      </c>
      <c r="M129" s="615">
        <f t="shared" si="17"/>
        <v>0</v>
      </c>
      <c r="N129" s="614">
        <f>'Membership Record'!L130+'Membership Record'!U130</f>
        <v>0</v>
      </c>
      <c r="O129" s="619">
        <f t="shared" si="18"/>
        <v>0</v>
      </c>
      <c r="P129" s="346"/>
      <c r="Q129" s="93"/>
      <c r="R129" s="94"/>
      <c r="S129" s="94"/>
      <c r="T129" s="330"/>
      <c r="U129" s="347"/>
      <c r="V129" s="92"/>
      <c r="W129" s="94"/>
      <c r="X129" s="95"/>
      <c r="Y129" s="95"/>
      <c r="Z129" s="95"/>
      <c r="AA129" s="94"/>
      <c r="AB129" s="346"/>
      <c r="AC129" s="93"/>
      <c r="AD129" s="94"/>
      <c r="AE129" s="94"/>
      <c r="AF129" s="330"/>
      <c r="AG129" s="347"/>
      <c r="AH129" s="92"/>
      <c r="AI129" s="94"/>
      <c r="AJ129" s="95"/>
      <c r="AK129" s="95"/>
      <c r="AL129" s="95"/>
      <c r="AM129" s="94"/>
      <c r="AN129" s="346"/>
      <c r="AO129" s="93"/>
      <c r="AP129" s="94"/>
      <c r="AQ129" s="94"/>
      <c r="AR129" s="330"/>
      <c r="AS129" s="347"/>
      <c r="AT129" s="92"/>
      <c r="AU129" s="94"/>
      <c r="AV129" s="95"/>
      <c r="AW129" s="95"/>
      <c r="AX129" s="95"/>
      <c r="AY129" s="94"/>
      <c r="AZ129" s="346"/>
      <c r="BA129" s="93"/>
      <c r="BB129" s="94"/>
      <c r="BC129" s="94"/>
      <c r="BD129" s="330"/>
      <c r="BE129" s="347"/>
      <c r="BF129" s="92"/>
      <c r="BG129" s="94"/>
      <c r="BH129" s="95"/>
      <c r="BI129" s="95"/>
      <c r="BJ129" s="95"/>
      <c r="BK129" s="94"/>
      <c r="BL129" s="346"/>
      <c r="BM129" s="93"/>
      <c r="BN129" s="94"/>
      <c r="BO129" s="94"/>
      <c r="BP129" s="330"/>
      <c r="BQ129" s="347"/>
      <c r="BR129" s="92"/>
      <c r="BS129" s="94"/>
      <c r="BT129" s="95"/>
      <c r="BU129" s="95"/>
      <c r="BV129" s="95"/>
      <c r="BW129" s="94"/>
      <c r="BX129" s="346"/>
      <c r="BY129" s="93"/>
      <c r="BZ129" s="94"/>
      <c r="CA129" s="94"/>
      <c r="CB129" s="330"/>
      <c r="CC129" s="347"/>
      <c r="CD129" s="92"/>
      <c r="CE129" s="94"/>
      <c r="CF129" s="95"/>
      <c r="CG129" s="95"/>
      <c r="CH129" s="95"/>
      <c r="CI129" s="94"/>
    </row>
    <row r="130" spans="1:87" x14ac:dyDescent="0.2">
      <c r="A130" s="8">
        <v>121</v>
      </c>
      <c r="B130" s="1125">
        <f>'Membership Record'!B131</f>
        <v>0</v>
      </c>
      <c r="C130" s="1125"/>
      <c r="D130" s="87">
        <f>'Membership Record'!G131+'Membership Record'!P131</f>
        <v>0</v>
      </c>
      <c r="E130" s="350">
        <f t="shared" si="13"/>
        <v>0</v>
      </c>
      <c r="F130" s="614">
        <f>'Membership Record'!H131+'Membership Record'!Q131</f>
        <v>0</v>
      </c>
      <c r="G130" s="615">
        <f t="shared" si="14"/>
        <v>0</v>
      </c>
      <c r="H130" s="614">
        <f>'Membership Record'!I131+'Membership Record'!R131</f>
        <v>0</v>
      </c>
      <c r="I130" s="616">
        <f t="shared" si="15"/>
        <v>0</v>
      </c>
      <c r="J130" s="614">
        <f>'Membership Record'!J131+'Membership Record'!S131</f>
        <v>0</v>
      </c>
      <c r="K130" s="618">
        <f t="shared" si="16"/>
        <v>0</v>
      </c>
      <c r="L130" s="618">
        <f>'Membership Record'!K131+'Membership Record'!T131</f>
        <v>0</v>
      </c>
      <c r="M130" s="615">
        <f t="shared" si="17"/>
        <v>0</v>
      </c>
      <c r="N130" s="614">
        <f>'Membership Record'!L131+'Membership Record'!U131</f>
        <v>0</v>
      </c>
      <c r="O130" s="619">
        <f t="shared" si="18"/>
        <v>0</v>
      </c>
      <c r="P130" s="346"/>
      <c r="Q130" s="93"/>
      <c r="R130" s="94"/>
      <c r="S130" s="94"/>
      <c r="T130" s="330"/>
      <c r="U130" s="347"/>
      <c r="V130" s="92"/>
      <c r="W130" s="94"/>
      <c r="X130" s="95"/>
      <c r="Y130" s="95"/>
      <c r="Z130" s="95"/>
      <c r="AA130" s="94"/>
      <c r="AB130" s="346"/>
      <c r="AC130" s="93"/>
      <c r="AD130" s="94"/>
      <c r="AE130" s="94"/>
      <c r="AF130" s="330"/>
      <c r="AG130" s="347"/>
      <c r="AH130" s="92"/>
      <c r="AI130" s="94"/>
      <c r="AJ130" s="95"/>
      <c r="AK130" s="95"/>
      <c r="AL130" s="95"/>
      <c r="AM130" s="94"/>
      <c r="AN130" s="346"/>
      <c r="AO130" s="93"/>
      <c r="AP130" s="94"/>
      <c r="AQ130" s="94"/>
      <c r="AR130" s="330"/>
      <c r="AS130" s="347"/>
      <c r="AT130" s="92"/>
      <c r="AU130" s="94"/>
      <c r="AV130" s="95"/>
      <c r="AW130" s="95"/>
      <c r="AX130" s="95"/>
      <c r="AY130" s="94"/>
      <c r="AZ130" s="346"/>
      <c r="BA130" s="93"/>
      <c r="BB130" s="94"/>
      <c r="BC130" s="94"/>
      <c r="BD130" s="330"/>
      <c r="BE130" s="347"/>
      <c r="BF130" s="92"/>
      <c r="BG130" s="94"/>
      <c r="BH130" s="95"/>
      <c r="BI130" s="95"/>
      <c r="BJ130" s="95"/>
      <c r="BK130" s="94"/>
      <c r="BL130" s="346"/>
      <c r="BM130" s="93"/>
      <c r="BN130" s="94"/>
      <c r="BO130" s="94"/>
      <c r="BP130" s="330"/>
      <c r="BQ130" s="347"/>
      <c r="BR130" s="92"/>
      <c r="BS130" s="94"/>
      <c r="BT130" s="95"/>
      <c r="BU130" s="95"/>
      <c r="BV130" s="95"/>
      <c r="BW130" s="94"/>
      <c r="BX130" s="346"/>
      <c r="BY130" s="93"/>
      <c r="BZ130" s="94"/>
      <c r="CA130" s="94"/>
      <c r="CB130" s="330"/>
      <c r="CC130" s="347"/>
      <c r="CD130" s="92"/>
      <c r="CE130" s="94"/>
      <c r="CF130" s="95"/>
      <c r="CG130" s="95"/>
      <c r="CH130" s="95"/>
      <c r="CI130" s="94"/>
    </row>
    <row r="131" spans="1:87" x14ac:dyDescent="0.2">
      <c r="A131" s="8">
        <v>122</v>
      </c>
      <c r="B131" s="1125">
        <f>'Membership Record'!B132</f>
        <v>0</v>
      </c>
      <c r="C131" s="1125"/>
      <c r="D131" s="87">
        <f>'Membership Record'!G132+'Membership Record'!P132</f>
        <v>0</v>
      </c>
      <c r="E131" s="350">
        <f t="shared" si="13"/>
        <v>0</v>
      </c>
      <c r="F131" s="614">
        <f>'Membership Record'!H132+'Membership Record'!Q132</f>
        <v>0</v>
      </c>
      <c r="G131" s="615">
        <f t="shared" si="14"/>
        <v>0</v>
      </c>
      <c r="H131" s="614">
        <f>'Membership Record'!I132+'Membership Record'!R132</f>
        <v>0</v>
      </c>
      <c r="I131" s="616">
        <f t="shared" si="15"/>
        <v>0</v>
      </c>
      <c r="J131" s="614">
        <f>'Membership Record'!J132+'Membership Record'!S132</f>
        <v>0</v>
      </c>
      <c r="K131" s="618">
        <f t="shared" si="16"/>
        <v>0</v>
      </c>
      <c r="L131" s="618">
        <f>'Membership Record'!K132+'Membership Record'!T132</f>
        <v>0</v>
      </c>
      <c r="M131" s="615">
        <f t="shared" si="17"/>
        <v>0</v>
      </c>
      <c r="N131" s="614">
        <f>'Membership Record'!L132+'Membership Record'!U132</f>
        <v>0</v>
      </c>
      <c r="O131" s="619">
        <f t="shared" si="18"/>
        <v>0</v>
      </c>
      <c r="P131" s="346"/>
      <c r="Q131" s="93"/>
      <c r="R131" s="94"/>
      <c r="S131" s="94"/>
      <c r="T131" s="330"/>
      <c r="U131" s="347"/>
      <c r="V131" s="92"/>
      <c r="W131" s="94"/>
      <c r="X131" s="95"/>
      <c r="Y131" s="95"/>
      <c r="Z131" s="95"/>
      <c r="AA131" s="94"/>
      <c r="AB131" s="346"/>
      <c r="AC131" s="93"/>
      <c r="AD131" s="94"/>
      <c r="AE131" s="94"/>
      <c r="AF131" s="330"/>
      <c r="AG131" s="347"/>
      <c r="AH131" s="92"/>
      <c r="AI131" s="94"/>
      <c r="AJ131" s="95"/>
      <c r="AK131" s="95"/>
      <c r="AL131" s="95"/>
      <c r="AM131" s="94"/>
      <c r="AN131" s="346"/>
      <c r="AO131" s="93"/>
      <c r="AP131" s="94"/>
      <c r="AQ131" s="94"/>
      <c r="AR131" s="330"/>
      <c r="AS131" s="347"/>
      <c r="AT131" s="92"/>
      <c r="AU131" s="94"/>
      <c r="AV131" s="95"/>
      <c r="AW131" s="95"/>
      <c r="AX131" s="95"/>
      <c r="AY131" s="94"/>
      <c r="AZ131" s="346"/>
      <c r="BA131" s="93"/>
      <c r="BB131" s="94"/>
      <c r="BC131" s="94"/>
      <c r="BD131" s="330"/>
      <c r="BE131" s="347"/>
      <c r="BF131" s="92"/>
      <c r="BG131" s="94"/>
      <c r="BH131" s="95"/>
      <c r="BI131" s="95"/>
      <c r="BJ131" s="95"/>
      <c r="BK131" s="94"/>
      <c r="BL131" s="346"/>
      <c r="BM131" s="93"/>
      <c r="BN131" s="94"/>
      <c r="BO131" s="94"/>
      <c r="BP131" s="330"/>
      <c r="BQ131" s="347"/>
      <c r="BR131" s="92"/>
      <c r="BS131" s="94"/>
      <c r="BT131" s="95"/>
      <c r="BU131" s="95"/>
      <c r="BV131" s="95"/>
      <c r="BW131" s="94"/>
      <c r="BX131" s="346"/>
      <c r="BY131" s="93"/>
      <c r="BZ131" s="94"/>
      <c r="CA131" s="94"/>
      <c r="CB131" s="330"/>
      <c r="CC131" s="347"/>
      <c r="CD131" s="92"/>
      <c r="CE131" s="94"/>
      <c r="CF131" s="95"/>
      <c r="CG131" s="95"/>
      <c r="CH131" s="95"/>
      <c r="CI131" s="94"/>
    </row>
    <row r="132" spans="1:87" x14ac:dyDescent="0.2">
      <c r="A132" s="8">
        <v>123</v>
      </c>
      <c r="B132" s="1125">
        <f>'Membership Record'!B133</f>
        <v>0</v>
      </c>
      <c r="C132" s="1125"/>
      <c r="D132" s="87">
        <f>'Membership Record'!G133+'Membership Record'!P133</f>
        <v>0</v>
      </c>
      <c r="E132" s="350">
        <f t="shared" si="13"/>
        <v>0</v>
      </c>
      <c r="F132" s="614">
        <f>'Membership Record'!H133+'Membership Record'!Q133</f>
        <v>0</v>
      </c>
      <c r="G132" s="615">
        <f t="shared" si="14"/>
        <v>0</v>
      </c>
      <c r="H132" s="614">
        <f>'Membership Record'!I133+'Membership Record'!R133</f>
        <v>0</v>
      </c>
      <c r="I132" s="616">
        <f t="shared" si="15"/>
        <v>0</v>
      </c>
      <c r="J132" s="614">
        <f>'Membership Record'!J133+'Membership Record'!S133</f>
        <v>0</v>
      </c>
      <c r="K132" s="618">
        <f t="shared" si="16"/>
        <v>0</v>
      </c>
      <c r="L132" s="618">
        <f>'Membership Record'!K133+'Membership Record'!T133</f>
        <v>0</v>
      </c>
      <c r="M132" s="615">
        <f t="shared" si="17"/>
        <v>0</v>
      </c>
      <c r="N132" s="614">
        <f>'Membership Record'!L133+'Membership Record'!U133</f>
        <v>0</v>
      </c>
      <c r="O132" s="619">
        <f t="shared" si="18"/>
        <v>0</v>
      </c>
      <c r="P132" s="346"/>
      <c r="Q132" s="93"/>
      <c r="R132" s="94"/>
      <c r="S132" s="94"/>
      <c r="T132" s="330"/>
      <c r="U132" s="347"/>
      <c r="V132" s="92"/>
      <c r="W132" s="94"/>
      <c r="X132" s="95"/>
      <c r="Y132" s="95"/>
      <c r="Z132" s="95"/>
      <c r="AA132" s="94"/>
      <c r="AB132" s="346"/>
      <c r="AC132" s="93"/>
      <c r="AD132" s="94"/>
      <c r="AE132" s="94"/>
      <c r="AF132" s="330"/>
      <c r="AG132" s="347"/>
      <c r="AH132" s="92"/>
      <c r="AI132" s="94"/>
      <c r="AJ132" s="95"/>
      <c r="AK132" s="95"/>
      <c r="AL132" s="95"/>
      <c r="AM132" s="94"/>
      <c r="AN132" s="346"/>
      <c r="AO132" s="93"/>
      <c r="AP132" s="94"/>
      <c r="AQ132" s="94"/>
      <c r="AR132" s="330"/>
      <c r="AS132" s="347"/>
      <c r="AT132" s="92"/>
      <c r="AU132" s="94"/>
      <c r="AV132" s="95"/>
      <c r="AW132" s="95"/>
      <c r="AX132" s="95"/>
      <c r="AY132" s="94"/>
      <c r="AZ132" s="346"/>
      <c r="BA132" s="93"/>
      <c r="BB132" s="94"/>
      <c r="BC132" s="94"/>
      <c r="BD132" s="330"/>
      <c r="BE132" s="347"/>
      <c r="BF132" s="92"/>
      <c r="BG132" s="94"/>
      <c r="BH132" s="95"/>
      <c r="BI132" s="95"/>
      <c r="BJ132" s="95"/>
      <c r="BK132" s="94"/>
      <c r="BL132" s="346"/>
      <c r="BM132" s="93"/>
      <c r="BN132" s="94"/>
      <c r="BO132" s="94"/>
      <c r="BP132" s="330"/>
      <c r="BQ132" s="347"/>
      <c r="BR132" s="92"/>
      <c r="BS132" s="94"/>
      <c r="BT132" s="95"/>
      <c r="BU132" s="95"/>
      <c r="BV132" s="95"/>
      <c r="BW132" s="94"/>
      <c r="BX132" s="346"/>
      <c r="BY132" s="93"/>
      <c r="BZ132" s="94"/>
      <c r="CA132" s="94"/>
      <c r="CB132" s="330"/>
      <c r="CC132" s="347"/>
      <c r="CD132" s="92"/>
      <c r="CE132" s="94"/>
      <c r="CF132" s="95"/>
      <c r="CG132" s="95"/>
      <c r="CH132" s="95"/>
      <c r="CI132" s="94"/>
    </row>
    <row r="133" spans="1:87" x14ac:dyDescent="0.2">
      <c r="A133" s="8">
        <v>124</v>
      </c>
      <c r="B133" s="1125">
        <f>'Membership Record'!B134</f>
        <v>0</v>
      </c>
      <c r="C133" s="1125"/>
      <c r="D133" s="87">
        <f>'Membership Record'!G134+'Membership Record'!P134</f>
        <v>0</v>
      </c>
      <c r="E133" s="350">
        <f t="shared" si="13"/>
        <v>0</v>
      </c>
      <c r="F133" s="614">
        <f>'Membership Record'!H134+'Membership Record'!Q134</f>
        <v>0</v>
      </c>
      <c r="G133" s="615">
        <f t="shared" si="14"/>
        <v>0</v>
      </c>
      <c r="H133" s="614">
        <f>'Membership Record'!I134+'Membership Record'!R134</f>
        <v>0</v>
      </c>
      <c r="I133" s="616">
        <f t="shared" si="15"/>
        <v>0</v>
      </c>
      <c r="J133" s="614">
        <f>'Membership Record'!J134+'Membership Record'!S134</f>
        <v>0</v>
      </c>
      <c r="K133" s="618">
        <f t="shared" si="16"/>
        <v>0</v>
      </c>
      <c r="L133" s="618">
        <f>'Membership Record'!K134+'Membership Record'!T134</f>
        <v>0</v>
      </c>
      <c r="M133" s="615">
        <f t="shared" si="17"/>
        <v>0</v>
      </c>
      <c r="N133" s="614">
        <f>'Membership Record'!L134+'Membership Record'!U134</f>
        <v>0</v>
      </c>
      <c r="O133" s="619">
        <f t="shared" si="18"/>
        <v>0</v>
      </c>
      <c r="P133" s="346"/>
      <c r="Q133" s="93"/>
      <c r="R133" s="94"/>
      <c r="S133" s="94"/>
      <c r="T133" s="330"/>
      <c r="U133" s="347"/>
      <c r="V133" s="92"/>
      <c r="W133" s="94"/>
      <c r="X133" s="95"/>
      <c r="Y133" s="95"/>
      <c r="Z133" s="95"/>
      <c r="AA133" s="94"/>
      <c r="AB133" s="346"/>
      <c r="AC133" s="93"/>
      <c r="AD133" s="94"/>
      <c r="AE133" s="94"/>
      <c r="AF133" s="330"/>
      <c r="AG133" s="347"/>
      <c r="AH133" s="92"/>
      <c r="AI133" s="94"/>
      <c r="AJ133" s="95"/>
      <c r="AK133" s="95"/>
      <c r="AL133" s="95"/>
      <c r="AM133" s="94"/>
      <c r="AN133" s="346"/>
      <c r="AO133" s="93"/>
      <c r="AP133" s="94"/>
      <c r="AQ133" s="94"/>
      <c r="AR133" s="330"/>
      <c r="AS133" s="347"/>
      <c r="AT133" s="92"/>
      <c r="AU133" s="94"/>
      <c r="AV133" s="95"/>
      <c r="AW133" s="95"/>
      <c r="AX133" s="95"/>
      <c r="AY133" s="94"/>
      <c r="AZ133" s="346"/>
      <c r="BA133" s="93"/>
      <c r="BB133" s="94"/>
      <c r="BC133" s="94"/>
      <c r="BD133" s="330"/>
      <c r="BE133" s="347"/>
      <c r="BF133" s="92"/>
      <c r="BG133" s="94"/>
      <c r="BH133" s="95"/>
      <c r="BI133" s="95"/>
      <c r="BJ133" s="95"/>
      <c r="BK133" s="94"/>
      <c r="BL133" s="346"/>
      <c r="BM133" s="93"/>
      <c r="BN133" s="94"/>
      <c r="BO133" s="94"/>
      <c r="BP133" s="330"/>
      <c r="BQ133" s="347"/>
      <c r="BR133" s="92"/>
      <c r="BS133" s="94"/>
      <c r="BT133" s="95"/>
      <c r="BU133" s="95"/>
      <c r="BV133" s="95"/>
      <c r="BW133" s="94"/>
      <c r="BX133" s="346"/>
      <c r="BY133" s="93"/>
      <c r="BZ133" s="94"/>
      <c r="CA133" s="94"/>
      <c r="CB133" s="330"/>
      <c r="CC133" s="347"/>
      <c r="CD133" s="92"/>
      <c r="CE133" s="94"/>
      <c r="CF133" s="95"/>
      <c r="CG133" s="95"/>
      <c r="CH133" s="95"/>
      <c r="CI133" s="94"/>
    </row>
    <row r="134" spans="1:87" x14ac:dyDescent="0.2">
      <c r="A134" s="8">
        <v>125</v>
      </c>
      <c r="B134" s="1125">
        <f>'Membership Record'!B135</f>
        <v>0</v>
      </c>
      <c r="C134" s="1125"/>
      <c r="D134" s="87">
        <f>'Membership Record'!G135+'Membership Record'!P135</f>
        <v>0</v>
      </c>
      <c r="E134" s="350">
        <f t="shared" si="13"/>
        <v>0</v>
      </c>
      <c r="F134" s="614">
        <f>'Membership Record'!H135+'Membership Record'!Q135</f>
        <v>0</v>
      </c>
      <c r="G134" s="615">
        <f t="shared" si="14"/>
        <v>0</v>
      </c>
      <c r="H134" s="614">
        <f>'Membership Record'!I135+'Membership Record'!R135</f>
        <v>0</v>
      </c>
      <c r="I134" s="616">
        <f t="shared" si="15"/>
        <v>0</v>
      </c>
      <c r="J134" s="614">
        <f>'Membership Record'!J135+'Membership Record'!S135</f>
        <v>0</v>
      </c>
      <c r="K134" s="618">
        <f t="shared" si="16"/>
        <v>0</v>
      </c>
      <c r="L134" s="618">
        <f>'Membership Record'!K135+'Membership Record'!T135</f>
        <v>0</v>
      </c>
      <c r="M134" s="615">
        <f t="shared" si="17"/>
        <v>0</v>
      </c>
      <c r="N134" s="614">
        <f>'Membership Record'!L135+'Membership Record'!U135</f>
        <v>0</v>
      </c>
      <c r="O134" s="619">
        <f t="shared" si="18"/>
        <v>0</v>
      </c>
      <c r="P134" s="346"/>
      <c r="Q134" s="93"/>
      <c r="R134" s="94"/>
      <c r="S134" s="94"/>
      <c r="T134" s="330"/>
      <c r="U134" s="347"/>
      <c r="V134" s="92"/>
      <c r="W134" s="94"/>
      <c r="X134" s="95"/>
      <c r="Y134" s="95"/>
      <c r="Z134" s="95"/>
      <c r="AA134" s="94"/>
      <c r="AB134" s="346"/>
      <c r="AC134" s="93"/>
      <c r="AD134" s="94"/>
      <c r="AE134" s="94"/>
      <c r="AF134" s="330"/>
      <c r="AG134" s="347"/>
      <c r="AH134" s="92"/>
      <c r="AI134" s="94"/>
      <c r="AJ134" s="95"/>
      <c r="AK134" s="95"/>
      <c r="AL134" s="95"/>
      <c r="AM134" s="94"/>
      <c r="AN134" s="346"/>
      <c r="AO134" s="93"/>
      <c r="AP134" s="94"/>
      <c r="AQ134" s="94"/>
      <c r="AR134" s="330"/>
      <c r="AS134" s="347"/>
      <c r="AT134" s="92"/>
      <c r="AU134" s="94"/>
      <c r="AV134" s="95"/>
      <c r="AW134" s="95"/>
      <c r="AX134" s="95"/>
      <c r="AY134" s="94"/>
      <c r="AZ134" s="346"/>
      <c r="BA134" s="93"/>
      <c r="BB134" s="94"/>
      <c r="BC134" s="94"/>
      <c r="BD134" s="330"/>
      <c r="BE134" s="347"/>
      <c r="BF134" s="92"/>
      <c r="BG134" s="94"/>
      <c r="BH134" s="95"/>
      <c r="BI134" s="95"/>
      <c r="BJ134" s="95"/>
      <c r="BK134" s="94"/>
      <c r="BL134" s="346"/>
      <c r="BM134" s="93"/>
      <c r="BN134" s="94"/>
      <c r="BO134" s="94"/>
      <c r="BP134" s="330"/>
      <c r="BQ134" s="347"/>
      <c r="BR134" s="92"/>
      <c r="BS134" s="94"/>
      <c r="BT134" s="95"/>
      <c r="BU134" s="95"/>
      <c r="BV134" s="95"/>
      <c r="BW134" s="94"/>
      <c r="BX134" s="346"/>
      <c r="BY134" s="93"/>
      <c r="BZ134" s="94"/>
      <c r="CA134" s="94"/>
      <c r="CB134" s="330"/>
      <c r="CC134" s="347"/>
      <c r="CD134" s="92"/>
      <c r="CE134" s="94"/>
      <c r="CF134" s="95"/>
      <c r="CG134" s="95"/>
      <c r="CH134" s="95"/>
      <c r="CI134" s="94"/>
    </row>
    <row r="135" spans="1:87" x14ac:dyDescent="0.2">
      <c r="A135" s="8">
        <v>126</v>
      </c>
      <c r="B135" s="1125">
        <f>'Membership Record'!B136</f>
        <v>0</v>
      </c>
      <c r="C135" s="1125"/>
      <c r="D135" s="87">
        <f>'Membership Record'!G136+'Membership Record'!P136</f>
        <v>0</v>
      </c>
      <c r="E135" s="350">
        <f t="shared" si="13"/>
        <v>0</v>
      </c>
      <c r="F135" s="614">
        <f>'Membership Record'!H136+'Membership Record'!Q136</f>
        <v>0</v>
      </c>
      <c r="G135" s="615">
        <f t="shared" si="14"/>
        <v>0</v>
      </c>
      <c r="H135" s="614">
        <f>'Membership Record'!I136+'Membership Record'!R136</f>
        <v>0</v>
      </c>
      <c r="I135" s="616">
        <f t="shared" si="15"/>
        <v>0</v>
      </c>
      <c r="J135" s="614">
        <f>'Membership Record'!J136+'Membership Record'!S136</f>
        <v>0</v>
      </c>
      <c r="K135" s="618">
        <f t="shared" si="16"/>
        <v>0</v>
      </c>
      <c r="L135" s="618">
        <f>'Membership Record'!K136+'Membership Record'!T136</f>
        <v>0</v>
      </c>
      <c r="M135" s="615">
        <f t="shared" si="17"/>
        <v>0</v>
      </c>
      <c r="N135" s="614">
        <f>'Membership Record'!L136+'Membership Record'!U136</f>
        <v>0</v>
      </c>
      <c r="O135" s="619">
        <f t="shared" si="18"/>
        <v>0</v>
      </c>
      <c r="P135" s="346"/>
      <c r="Q135" s="93"/>
      <c r="R135" s="94"/>
      <c r="S135" s="94"/>
      <c r="T135" s="330"/>
      <c r="U135" s="347"/>
      <c r="V135" s="92"/>
      <c r="W135" s="94"/>
      <c r="X135" s="95"/>
      <c r="Y135" s="95"/>
      <c r="Z135" s="95"/>
      <c r="AA135" s="94"/>
      <c r="AB135" s="346"/>
      <c r="AC135" s="93"/>
      <c r="AD135" s="94"/>
      <c r="AE135" s="94"/>
      <c r="AF135" s="330"/>
      <c r="AG135" s="347"/>
      <c r="AH135" s="92"/>
      <c r="AI135" s="94"/>
      <c r="AJ135" s="95"/>
      <c r="AK135" s="95"/>
      <c r="AL135" s="95"/>
      <c r="AM135" s="94"/>
      <c r="AN135" s="346"/>
      <c r="AO135" s="93"/>
      <c r="AP135" s="94"/>
      <c r="AQ135" s="94"/>
      <c r="AR135" s="330"/>
      <c r="AS135" s="347"/>
      <c r="AT135" s="92"/>
      <c r="AU135" s="94"/>
      <c r="AV135" s="95"/>
      <c r="AW135" s="95"/>
      <c r="AX135" s="95"/>
      <c r="AY135" s="94"/>
      <c r="AZ135" s="346"/>
      <c r="BA135" s="93"/>
      <c r="BB135" s="94"/>
      <c r="BC135" s="94"/>
      <c r="BD135" s="330"/>
      <c r="BE135" s="347"/>
      <c r="BF135" s="92"/>
      <c r="BG135" s="94"/>
      <c r="BH135" s="95"/>
      <c r="BI135" s="95"/>
      <c r="BJ135" s="95"/>
      <c r="BK135" s="94"/>
      <c r="BL135" s="346"/>
      <c r="BM135" s="93"/>
      <c r="BN135" s="94"/>
      <c r="BO135" s="94"/>
      <c r="BP135" s="330"/>
      <c r="BQ135" s="347"/>
      <c r="BR135" s="92"/>
      <c r="BS135" s="94"/>
      <c r="BT135" s="95"/>
      <c r="BU135" s="95"/>
      <c r="BV135" s="95"/>
      <c r="BW135" s="94"/>
      <c r="BX135" s="346"/>
      <c r="BY135" s="93"/>
      <c r="BZ135" s="94"/>
      <c r="CA135" s="94"/>
      <c r="CB135" s="330"/>
      <c r="CC135" s="347"/>
      <c r="CD135" s="92"/>
      <c r="CE135" s="94"/>
      <c r="CF135" s="95"/>
      <c r="CG135" s="95"/>
      <c r="CH135" s="95"/>
      <c r="CI135" s="94"/>
    </row>
    <row r="136" spans="1:87" x14ac:dyDescent="0.2">
      <c r="A136" s="8">
        <v>127</v>
      </c>
      <c r="B136" s="1125">
        <f>'Membership Record'!B137</f>
        <v>0</v>
      </c>
      <c r="C136" s="1125"/>
      <c r="D136" s="87">
        <f>'Membership Record'!G137+'Membership Record'!P137</f>
        <v>0</v>
      </c>
      <c r="E136" s="350">
        <f t="shared" si="13"/>
        <v>0</v>
      </c>
      <c r="F136" s="614">
        <f>'Membership Record'!H137+'Membership Record'!Q137</f>
        <v>0</v>
      </c>
      <c r="G136" s="615">
        <f t="shared" si="14"/>
        <v>0</v>
      </c>
      <c r="H136" s="614">
        <f>'Membership Record'!I137+'Membership Record'!R137</f>
        <v>0</v>
      </c>
      <c r="I136" s="616">
        <f t="shared" si="15"/>
        <v>0</v>
      </c>
      <c r="J136" s="614">
        <f>'Membership Record'!J137+'Membership Record'!S137</f>
        <v>0</v>
      </c>
      <c r="K136" s="618">
        <f t="shared" si="16"/>
        <v>0</v>
      </c>
      <c r="L136" s="618">
        <f>'Membership Record'!K137+'Membership Record'!T137</f>
        <v>0</v>
      </c>
      <c r="M136" s="615">
        <f t="shared" si="17"/>
        <v>0</v>
      </c>
      <c r="N136" s="614">
        <f>'Membership Record'!L137+'Membership Record'!U137</f>
        <v>0</v>
      </c>
      <c r="O136" s="619">
        <f t="shared" si="18"/>
        <v>0</v>
      </c>
      <c r="P136" s="346"/>
      <c r="Q136" s="93"/>
      <c r="R136" s="94"/>
      <c r="S136" s="94"/>
      <c r="T136" s="330"/>
      <c r="U136" s="347"/>
      <c r="V136" s="92"/>
      <c r="W136" s="94"/>
      <c r="X136" s="95"/>
      <c r="Y136" s="95"/>
      <c r="Z136" s="95"/>
      <c r="AA136" s="94"/>
      <c r="AB136" s="346"/>
      <c r="AC136" s="93"/>
      <c r="AD136" s="94"/>
      <c r="AE136" s="94"/>
      <c r="AF136" s="330"/>
      <c r="AG136" s="347"/>
      <c r="AH136" s="92"/>
      <c r="AI136" s="94"/>
      <c r="AJ136" s="95"/>
      <c r="AK136" s="95"/>
      <c r="AL136" s="95"/>
      <c r="AM136" s="94"/>
      <c r="AN136" s="346"/>
      <c r="AO136" s="93"/>
      <c r="AP136" s="94"/>
      <c r="AQ136" s="94"/>
      <c r="AR136" s="330"/>
      <c r="AS136" s="347"/>
      <c r="AT136" s="92"/>
      <c r="AU136" s="94"/>
      <c r="AV136" s="95"/>
      <c r="AW136" s="95"/>
      <c r="AX136" s="95"/>
      <c r="AY136" s="94"/>
      <c r="AZ136" s="346"/>
      <c r="BA136" s="93"/>
      <c r="BB136" s="94"/>
      <c r="BC136" s="94"/>
      <c r="BD136" s="330"/>
      <c r="BE136" s="347"/>
      <c r="BF136" s="92"/>
      <c r="BG136" s="94"/>
      <c r="BH136" s="95"/>
      <c r="BI136" s="95"/>
      <c r="BJ136" s="95"/>
      <c r="BK136" s="94"/>
      <c r="BL136" s="346"/>
      <c r="BM136" s="93"/>
      <c r="BN136" s="94"/>
      <c r="BO136" s="94"/>
      <c r="BP136" s="330"/>
      <c r="BQ136" s="347"/>
      <c r="BR136" s="92"/>
      <c r="BS136" s="94"/>
      <c r="BT136" s="95"/>
      <c r="BU136" s="95"/>
      <c r="BV136" s="95"/>
      <c r="BW136" s="94"/>
      <c r="BX136" s="346"/>
      <c r="BY136" s="93"/>
      <c r="BZ136" s="94"/>
      <c r="CA136" s="94"/>
      <c r="CB136" s="330"/>
      <c r="CC136" s="347"/>
      <c r="CD136" s="92"/>
      <c r="CE136" s="94"/>
      <c r="CF136" s="95"/>
      <c r="CG136" s="95"/>
      <c r="CH136" s="95"/>
      <c r="CI136" s="94"/>
    </row>
    <row r="137" spans="1:87" x14ac:dyDescent="0.2">
      <c r="A137" s="8">
        <v>128</v>
      </c>
      <c r="B137" s="1125">
        <f>'Membership Record'!B138</f>
        <v>0</v>
      </c>
      <c r="C137" s="1125"/>
      <c r="D137" s="87">
        <f>'Membership Record'!G138+'Membership Record'!P138</f>
        <v>0</v>
      </c>
      <c r="E137" s="350">
        <f t="shared" si="13"/>
        <v>0</v>
      </c>
      <c r="F137" s="614">
        <f>'Membership Record'!H138+'Membership Record'!Q138</f>
        <v>0</v>
      </c>
      <c r="G137" s="615">
        <f t="shared" si="14"/>
        <v>0</v>
      </c>
      <c r="H137" s="614">
        <f>'Membership Record'!I138+'Membership Record'!R138</f>
        <v>0</v>
      </c>
      <c r="I137" s="616">
        <f t="shared" si="15"/>
        <v>0</v>
      </c>
      <c r="J137" s="614">
        <f>'Membership Record'!J138+'Membership Record'!S138</f>
        <v>0</v>
      </c>
      <c r="K137" s="618">
        <f t="shared" si="16"/>
        <v>0</v>
      </c>
      <c r="L137" s="618">
        <f>'Membership Record'!K138+'Membership Record'!T138</f>
        <v>0</v>
      </c>
      <c r="M137" s="615">
        <f t="shared" si="17"/>
        <v>0</v>
      </c>
      <c r="N137" s="614">
        <f>'Membership Record'!L138+'Membership Record'!U138</f>
        <v>0</v>
      </c>
      <c r="O137" s="619">
        <f t="shared" si="18"/>
        <v>0</v>
      </c>
      <c r="P137" s="346"/>
      <c r="Q137" s="93"/>
      <c r="R137" s="94"/>
      <c r="S137" s="94"/>
      <c r="T137" s="330"/>
      <c r="U137" s="347"/>
      <c r="V137" s="92"/>
      <c r="W137" s="94"/>
      <c r="X137" s="95"/>
      <c r="Y137" s="95"/>
      <c r="Z137" s="95"/>
      <c r="AA137" s="94"/>
      <c r="AB137" s="346"/>
      <c r="AC137" s="93"/>
      <c r="AD137" s="94"/>
      <c r="AE137" s="94"/>
      <c r="AF137" s="330"/>
      <c r="AG137" s="347"/>
      <c r="AH137" s="92"/>
      <c r="AI137" s="94"/>
      <c r="AJ137" s="95"/>
      <c r="AK137" s="95"/>
      <c r="AL137" s="95"/>
      <c r="AM137" s="94"/>
      <c r="AN137" s="346"/>
      <c r="AO137" s="93"/>
      <c r="AP137" s="94"/>
      <c r="AQ137" s="94"/>
      <c r="AR137" s="330"/>
      <c r="AS137" s="347"/>
      <c r="AT137" s="92"/>
      <c r="AU137" s="94"/>
      <c r="AV137" s="95"/>
      <c r="AW137" s="95"/>
      <c r="AX137" s="95"/>
      <c r="AY137" s="94"/>
      <c r="AZ137" s="346"/>
      <c r="BA137" s="93"/>
      <c r="BB137" s="94"/>
      <c r="BC137" s="94"/>
      <c r="BD137" s="330"/>
      <c r="BE137" s="347"/>
      <c r="BF137" s="92"/>
      <c r="BG137" s="94"/>
      <c r="BH137" s="95"/>
      <c r="BI137" s="95"/>
      <c r="BJ137" s="95"/>
      <c r="BK137" s="94"/>
      <c r="BL137" s="346"/>
      <c r="BM137" s="93"/>
      <c r="BN137" s="94"/>
      <c r="BO137" s="94"/>
      <c r="BP137" s="330"/>
      <c r="BQ137" s="347"/>
      <c r="BR137" s="92"/>
      <c r="BS137" s="94"/>
      <c r="BT137" s="95"/>
      <c r="BU137" s="95"/>
      <c r="BV137" s="95"/>
      <c r="BW137" s="94"/>
      <c r="BX137" s="346"/>
      <c r="BY137" s="93"/>
      <c r="BZ137" s="94"/>
      <c r="CA137" s="94"/>
      <c r="CB137" s="330"/>
      <c r="CC137" s="347"/>
      <c r="CD137" s="92"/>
      <c r="CE137" s="94"/>
      <c r="CF137" s="95"/>
      <c r="CG137" s="95"/>
      <c r="CH137" s="95"/>
      <c r="CI137" s="94"/>
    </row>
    <row r="138" spans="1:87" x14ac:dyDescent="0.2">
      <c r="A138" s="8">
        <v>129</v>
      </c>
      <c r="B138" s="1125">
        <f>'Membership Record'!B139</f>
        <v>0</v>
      </c>
      <c r="C138" s="1125"/>
      <c r="D138" s="87">
        <f>'Membership Record'!G139+'Membership Record'!P139</f>
        <v>0</v>
      </c>
      <c r="E138" s="350">
        <f t="shared" si="13"/>
        <v>0</v>
      </c>
      <c r="F138" s="614">
        <f>'Membership Record'!H139+'Membership Record'!Q139</f>
        <v>0</v>
      </c>
      <c r="G138" s="615">
        <f t="shared" si="14"/>
        <v>0</v>
      </c>
      <c r="H138" s="614">
        <f>'Membership Record'!I139+'Membership Record'!R139</f>
        <v>0</v>
      </c>
      <c r="I138" s="616">
        <f t="shared" si="15"/>
        <v>0</v>
      </c>
      <c r="J138" s="614">
        <f>'Membership Record'!J139+'Membership Record'!S139</f>
        <v>0</v>
      </c>
      <c r="K138" s="618">
        <f t="shared" si="16"/>
        <v>0</v>
      </c>
      <c r="L138" s="618">
        <f>'Membership Record'!K139+'Membership Record'!T139</f>
        <v>0</v>
      </c>
      <c r="M138" s="615">
        <f t="shared" si="17"/>
        <v>0</v>
      </c>
      <c r="N138" s="614">
        <f>'Membership Record'!L139+'Membership Record'!U139</f>
        <v>0</v>
      </c>
      <c r="O138" s="619">
        <f t="shared" si="18"/>
        <v>0</v>
      </c>
      <c r="P138" s="346"/>
      <c r="Q138" s="93"/>
      <c r="R138" s="94"/>
      <c r="S138" s="94"/>
      <c r="T138" s="330"/>
      <c r="U138" s="347"/>
      <c r="V138" s="92"/>
      <c r="W138" s="94"/>
      <c r="X138" s="95"/>
      <c r="Y138" s="95"/>
      <c r="Z138" s="95"/>
      <c r="AA138" s="94"/>
      <c r="AB138" s="346"/>
      <c r="AC138" s="93"/>
      <c r="AD138" s="94"/>
      <c r="AE138" s="94"/>
      <c r="AF138" s="330"/>
      <c r="AG138" s="347"/>
      <c r="AH138" s="92"/>
      <c r="AI138" s="94"/>
      <c r="AJ138" s="95"/>
      <c r="AK138" s="95"/>
      <c r="AL138" s="95"/>
      <c r="AM138" s="94"/>
      <c r="AN138" s="346"/>
      <c r="AO138" s="93"/>
      <c r="AP138" s="94"/>
      <c r="AQ138" s="94"/>
      <c r="AR138" s="330"/>
      <c r="AS138" s="347"/>
      <c r="AT138" s="92"/>
      <c r="AU138" s="94"/>
      <c r="AV138" s="95"/>
      <c r="AW138" s="95"/>
      <c r="AX138" s="95"/>
      <c r="AY138" s="94"/>
      <c r="AZ138" s="346"/>
      <c r="BA138" s="93"/>
      <c r="BB138" s="94"/>
      <c r="BC138" s="94"/>
      <c r="BD138" s="330"/>
      <c r="BE138" s="347"/>
      <c r="BF138" s="92"/>
      <c r="BG138" s="94"/>
      <c r="BH138" s="95"/>
      <c r="BI138" s="95"/>
      <c r="BJ138" s="95"/>
      <c r="BK138" s="94"/>
      <c r="BL138" s="346"/>
      <c r="BM138" s="93"/>
      <c r="BN138" s="94"/>
      <c r="BO138" s="94"/>
      <c r="BP138" s="330"/>
      <c r="BQ138" s="347"/>
      <c r="BR138" s="92"/>
      <c r="BS138" s="94"/>
      <c r="BT138" s="95"/>
      <c r="BU138" s="95"/>
      <c r="BV138" s="95"/>
      <c r="BW138" s="94"/>
      <c r="BX138" s="346"/>
      <c r="BY138" s="93"/>
      <c r="BZ138" s="94"/>
      <c r="CA138" s="94"/>
      <c r="CB138" s="330"/>
      <c r="CC138" s="347"/>
      <c r="CD138" s="92"/>
      <c r="CE138" s="94"/>
      <c r="CF138" s="95"/>
      <c r="CG138" s="95"/>
      <c r="CH138" s="95"/>
      <c r="CI138" s="94"/>
    </row>
    <row r="139" spans="1:87" x14ac:dyDescent="0.2">
      <c r="A139" s="8">
        <v>130</v>
      </c>
      <c r="B139" s="1125">
        <f>'Membership Record'!B140</f>
        <v>0</v>
      </c>
      <c r="C139" s="1125"/>
      <c r="D139" s="87">
        <f>'Membership Record'!G140+'Membership Record'!P140</f>
        <v>0</v>
      </c>
      <c r="E139" s="350">
        <f t="shared" ref="E139:E202" si="19">P139+V139+AB139+AH139+AN139+AT139+AZ139+BF139+BL139+BR139+BX139+CD139</f>
        <v>0</v>
      </c>
      <c r="F139" s="614">
        <f>'Membership Record'!H140+'Membership Record'!Q140</f>
        <v>0</v>
      </c>
      <c r="G139" s="615">
        <f t="shared" ref="G139:G202" si="20">R139+X139+AD139+AJ139+AP139+AV139+BB139+BH139+BN139+BT139+BZ139+CF139</f>
        <v>0</v>
      </c>
      <c r="H139" s="614">
        <f>'Membership Record'!I140+'Membership Record'!R140</f>
        <v>0</v>
      </c>
      <c r="I139" s="616">
        <f t="shared" ref="I139:I202" si="21">Q139+W139+AC139+AI139+AO139+AU139+BA139+BG139+BM139+BS139+BY139+CE139</f>
        <v>0</v>
      </c>
      <c r="J139" s="614">
        <f>'Membership Record'!J140+'Membership Record'!S140</f>
        <v>0</v>
      </c>
      <c r="K139" s="618">
        <f t="shared" ref="K139:K202" si="22">S139+Y139+AE139+AK139+AQ139+AW139+BC139+BI139+BO139+BU139+CA139+CG139</f>
        <v>0</v>
      </c>
      <c r="L139" s="618">
        <f>'Membership Record'!K140+'Membership Record'!T140</f>
        <v>0</v>
      </c>
      <c r="M139" s="615">
        <f t="shared" ref="M139:M202" si="23">T139+Z139+AF139+AL139+AR139+AX139+BD139+BJ139+BP139+BV139+CB139+CH139</f>
        <v>0</v>
      </c>
      <c r="N139" s="614">
        <f>'Membership Record'!L140+'Membership Record'!U140</f>
        <v>0</v>
      </c>
      <c r="O139" s="619">
        <f t="shared" ref="O139:O202" si="24">U139+AA139+AG139+AM139+AS139+AY139+BE139+BK139+BQ139+BW139+CC139+CI139</f>
        <v>0</v>
      </c>
      <c r="P139" s="346"/>
      <c r="Q139" s="93"/>
      <c r="R139" s="94"/>
      <c r="S139" s="94"/>
      <c r="T139" s="330"/>
      <c r="U139" s="347"/>
      <c r="V139" s="92"/>
      <c r="W139" s="94"/>
      <c r="X139" s="95"/>
      <c r="Y139" s="95"/>
      <c r="Z139" s="95"/>
      <c r="AA139" s="94"/>
      <c r="AB139" s="346"/>
      <c r="AC139" s="93"/>
      <c r="AD139" s="94"/>
      <c r="AE139" s="94"/>
      <c r="AF139" s="330"/>
      <c r="AG139" s="347"/>
      <c r="AH139" s="92"/>
      <c r="AI139" s="94"/>
      <c r="AJ139" s="95"/>
      <c r="AK139" s="95"/>
      <c r="AL139" s="95"/>
      <c r="AM139" s="94"/>
      <c r="AN139" s="346"/>
      <c r="AO139" s="93"/>
      <c r="AP139" s="94"/>
      <c r="AQ139" s="94"/>
      <c r="AR139" s="330"/>
      <c r="AS139" s="347"/>
      <c r="AT139" s="92"/>
      <c r="AU139" s="94"/>
      <c r="AV139" s="95"/>
      <c r="AW139" s="95"/>
      <c r="AX139" s="95"/>
      <c r="AY139" s="94"/>
      <c r="AZ139" s="346"/>
      <c r="BA139" s="93"/>
      <c r="BB139" s="94"/>
      <c r="BC139" s="94"/>
      <c r="BD139" s="330"/>
      <c r="BE139" s="347"/>
      <c r="BF139" s="92"/>
      <c r="BG139" s="94"/>
      <c r="BH139" s="95"/>
      <c r="BI139" s="95"/>
      <c r="BJ139" s="95"/>
      <c r="BK139" s="94"/>
      <c r="BL139" s="346"/>
      <c r="BM139" s="93"/>
      <c r="BN139" s="94"/>
      <c r="BO139" s="94"/>
      <c r="BP139" s="330"/>
      <c r="BQ139" s="347"/>
      <c r="BR139" s="92"/>
      <c r="BS139" s="94"/>
      <c r="BT139" s="95"/>
      <c r="BU139" s="95"/>
      <c r="BV139" s="95"/>
      <c r="BW139" s="94"/>
      <c r="BX139" s="346"/>
      <c r="BY139" s="93"/>
      <c r="BZ139" s="94"/>
      <c r="CA139" s="94"/>
      <c r="CB139" s="330"/>
      <c r="CC139" s="347"/>
      <c r="CD139" s="92"/>
      <c r="CE139" s="94"/>
      <c r="CF139" s="95"/>
      <c r="CG139" s="95"/>
      <c r="CH139" s="95"/>
      <c r="CI139" s="94"/>
    </row>
    <row r="140" spans="1:87" x14ac:dyDescent="0.2">
      <c r="A140" s="8">
        <v>131</v>
      </c>
      <c r="B140" s="1125">
        <f>'Membership Record'!B141</f>
        <v>0</v>
      </c>
      <c r="C140" s="1125"/>
      <c r="D140" s="87">
        <f>'Membership Record'!G141+'Membership Record'!P141</f>
        <v>0</v>
      </c>
      <c r="E140" s="350">
        <f t="shared" si="19"/>
        <v>0</v>
      </c>
      <c r="F140" s="614">
        <f>'Membership Record'!H141+'Membership Record'!Q141</f>
        <v>0</v>
      </c>
      <c r="G140" s="615">
        <f t="shared" si="20"/>
        <v>0</v>
      </c>
      <c r="H140" s="614">
        <f>'Membership Record'!I141+'Membership Record'!R141</f>
        <v>0</v>
      </c>
      <c r="I140" s="616">
        <f t="shared" si="21"/>
        <v>0</v>
      </c>
      <c r="J140" s="614">
        <f>'Membership Record'!J141+'Membership Record'!S141</f>
        <v>0</v>
      </c>
      <c r="K140" s="618">
        <f t="shared" si="22"/>
        <v>0</v>
      </c>
      <c r="L140" s="618">
        <f>'Membership Record'!K141+'Membership Record'!T141</f>
        <v>0</v>
      </c>
      <c r="M140" s="615">
        <f t="shared" si="23"/>
        <v>0</v>
      </c>
      <c r="N140" s="614">
        <f>'Membership Record'!L141+'Membership Record'!U141</f>
        <v>0</v>
      </c>
      <c r="O140" s="619">
        <f t="shared" si="24"/>
        <v>0</v>
      </c>
      <c r="P140" s="346"/>
      <c r="Q140" s="93"/>
      <c r="R140" s="94"/>
      <c r="S140" s="94"/>
      <c r="T140" s="330"/>
      <c r="U140" s="347"/>
      <c r="V140" s="92"/>
      <c r="W140" s="94"/>
      <c r="X140" s="95"/>
      <c r="Y140" s="95"/>
      <c r="Z140" s="95"/>
      <c r="AA140" s="94"/>
      <c r="AB140" s="346"/>
      <c r="AC140" s="93"/>
      <c r="AD140" s="94"/>
      <c r="AE140" s="94"/>
      <c r="AF140" s="330"/>
      <c r="AG140" s="347"/>
      <c r="AH140" s="92"/>
      <c r="AI140" s="94"/>
      <c r="AJ140" s="95"/>
      <c r="AK140" s="95"/>
      <c r="AL140" s="95"/>
      <c r="AM140" s="94"/>
      <c r="AN140" s="346"/>
      <c r="AO140" s="93"/>
      <c r="AP140" s="94"/>
      <c r="AQ140" s="94"/>
      <c r="AR140" s="330"/>
      <c r="AS140" s="347"/>
      <c r="AT140" s="92"/>
      <c r="AU140" s="94"/>
      <c r="AV140" s="95"/>
      <c r="AW140" s="95"/>
      <c r="AX140" s="95"/>
      <c r="AY140" s="94"/>
      <c r="AZ140" s="346"/>
      <c r="BA140" s="93"/>
      <c r="BB140" s="94"/>
      <c r="BC140" s="94"/>
      <c r="BD140" s="330"/>
      <c r="BE140" s="347"/>
      <c r="BF140" s="92"/>
      <c r="BG140" s="94"/>
      <c r="BH140" s="95"/>
      <c r="BI140" s="95"/>
      <c r="BJ140" s="95"/>
      <c r="BK140" s="94"/>
      <c r="BL140" s="346"/>
      <c r="BM140" s="93"/>
      <c r="BN140" s="94"/>
      <c r="BO140" s="94"/>
      <c r="BP140" s="330"/>
      <c r="BQ140" s="347"/>
      <c r="BR140" s="92"/>
      <c r="BS140" s="94"/>
      <c r="BT140" s="95"/>
      <c r="BU140" s="95"/>
      <c r="BV140" s="95"/>
      <c r="BW140" s="94"/>
      <c r="BX140" s="346"/>
      <c r="BY140" s="93"/>
      <c r="BZ140" s="94"/>
      <c r="CA140" s="94"/>
      <c r="CB140" s="330"/>
      <c r="CC140" s="347"/>
      <c r="CD140" s="92"/>
      <c r="CE140" s="94"/>
      <c r="CF140" s="95"/>
      <c r="CG140" s="95"/>
      <c r="CH140" s="95"/>
      <c r="CI140" s="94"/>
    </row>
    <row r="141" spans="1:87" x14ac:dyDescent="0.2">
      <c r="A141" s="8">
        <v>132</v>
      </c>
      <c r="B141" s="1125">
        <f>'Membership Record'!B142</f>
        <v>0</v>
      </c>
      <c r="C141" s="1125"/>
      <c r="D141" s="87">
        <f>'Membership Record'!G142+'Membership Record'!P142</f>
        <v>0</v>
      </c>
      <c r="E141" s="350">
        <f t="shared" si="19"/>
        <v>0</v>
      </c>
      <c r="F141" s="614">
        <f>'Membership Record'!H142+'Membership Record'!Q142</f>
        <v>0</v>
      </c>
      <c r="G141" s="615">
        <f t="shared" si="20"/>
        <v>0</v>
      </c>
      <c r="H141" s="614">
        <f>'Membership Record'!I142+'Membership Record'!R142</f>
        <v>0</v>
      </c>
      <c r="I141" s="616">
        <f t="shared" si="21"/>
        <v>0</v>
      </c>
      <c r="J141" s="614">
        <f>'Membership Record'!J142+'Membership Record'!S142</f>
        <v>0</v>
      </c>
      <c r="K141" s="618">
        <f t="shared" si="22"/>
        <v>0</v>
      </c>
      <c r="L141" s="618">
        <f>'Membership Record'!K142+'Membership Record'!T142</f>
        <v>0</v>
      </c>
      <c r="M141" s="615">
        <f t="shared" si="23"/>
        <v>0</v>
      </c>
      <c r="N141" s="614">
        <f>'Membership Record'!L142+'Membership Record'!U142</f>
        <v>0</v>
      </c>
      <c r="O141" s="619">
        <f t="shared" si="24"/>
        <v>0</v>
      </c>
      <c r="P141" s="346"/>
      <c r="Q141" s="93"/>
      <c r="R141" s="94"/>
      <c r="S141" s="94"/>
      <c r="T141" s="330"/>
      <c r="U141" s="347"/>
      <c r="V141" s="92"/>
      <c r="W141" s="94"/>
      <c r="X141" s="95"/>
      <c r="Y141" s="95"/>
      <c r="Z141" s="95"/>
      <c r="AA141" s="94"/>
      <c r="AB141" s="346"/>
      <c r="AC141" s="93"/>
      <c r="AD141" s="94"/>
      <c r="AE141" s="94"/>
      <c r="AF141" s="330"/>
      <c r="AG141" s="347"/>
      <c r="AH141" s="92"/>
      <c r="AI141" s="94"/>
      <c r="AJ141" s="95"/>
      <c r="AK141" s="95"/>
      <c r="AL141" s="95"/>
      <c r="AM141" s="94"/>
      <c r="AN141" s="346"/>
      <c r="AO141" s="93"/>
      <c r="AP141" s="94"/>
      <c r="AQ141" s="94"/>
      <c r="AR141" s="330"/>
      <c r="AS141" s="347"/>
      <c r="AT141" s="92"/>
      <c r="AU141" s="94"/>
      <c r="AV141" s="95"/>
      <c r="AW141" s="95"/>
      <c r="AX141" s="95"/>
      <c r="AY141" s="94"/>
      <c r="AZ141" s="346"/>
      <c r="BA141" s="93"/>
      <c r="BB141" s="94"/>
      <c r="BC141" s="94"/>
      <c r="BD141" s="330"/>
      <c r="BE141" s="347"/>
      <c r="BF141" s="92"/>
      <c r="BG141" s="94"/>
      <c r="BH141" s="95"/>
      <c r="BI141" s="95"/>
      <c r="BJ141" s="95"/>
      <c r="BK141" s="94"/>
      <c r="BL141" s="346"/>
      <c r="BM141" s="93"/>
      <c r="BN141" s="94"/>
      <c r="BO141" s="94"/>
      <c r="BP141" s="330"/>
      <c r="BQ141" s="347"/>
      <c r="BR141" s="92"/>
      <c r="BS141" s="94"/>
      <c r="BT141" s="95"/>
      <c r="BU141" s="95"/>
      <c r="BV141" s="95"/>
      <c r="BW141" s="94"/>
      <c r="BX141" s="346"/>
      <c r="BY141" s="93"/>
      <c r="BZ141" s="94"/>
      <c r="CA141" s="94"/>
      <c r="CB141" s="330"/>
      <c r="CC141" s="347"/>
      <c r="CD141" s="92"/>
      <c r="CE141" s="94"/>
      <c r="CF141" s="95"/>
      <c r="CG141" s="95"/>
      <c r="CH141" s="95"/>
      <c r="CI141" s="94"/>
    </row>
    <row r="142" spans="1:87" x14ac:dyDescent="0.2">
      <c r="A142" s="8">
        <v>133</v>
      </c>
      <c r="B142" s="1125">
        <f>'Membership Record'!B143</f>
        <v>0</v>
      </c>
      <c r="C142" s="1125"/>
      <c r="D142" s="87">
        <f>'Membership Record'!G143+'Membership Record'!P143</f>
        <v>0</v>
      </c>
      <c r="E142" s="350">
        <f t="shared" si="19"/>
        <v>0</v>
      </c>
      <c r="F142" s="614">
        <f>'Membership Record'!H143+'Membership Record'!Q143</f>
        <v>0</v>
      </c>
      <c r="G142" s="615">
        <f t="shared" si="20"/>
        <v>0</v>
      </c>
      <c r="H142" s="614">
        <f>'Membership Record'!I143+'Membership Record'!R143</f>
        <v>0</v>
      </c>
      <c r="I142" s="616">
        <f t="shared" si="21"/>
        <v>0</v>
      </c>
      <c r="J142" s="614">
        <f>'Membership Record'!J143+'Membership Record'!S143</f>
        <v>0</v>
      </c>
      <c r="K142" s="618">
        <f t="shared" si="22"/>
        <v>0</v>
      </c>
      <c r="L142" s="618">
        <f>'Membership Record'!K143+'Membership Record'!T143</f>
        <v>0</v>
      </c>
      <c r="M142" s="615">
        <f t="shared" si="23"/>
        <v>0</v>
      </c>
      <c r="N142" s="614">
        <f>'Membership Record'!L143+'Membership Record'!U143</f>
        <v>0</v>
      </c>
      <c r="O142" s="619">
        <f t="shared" si="24"/>
        <v>0</v>
      </c>
      <c r="P142" s="346"/>
      <c r="Q142" s="93"/>
      <c r="R142" s="94"/>
      <c r="S142" s="94"/>
      <c r="T142" s="330"/>
      <c r="U142" s="347"/>
      <c r="V142" s="92"/>
      <c r="W142" s="94"/>
      <c r="X142" s="95"/>
      <c r="Y142" s="95"/>
      <c r="Z142" s="95"/>
      <c r="AA142" s="94"/>
      <c r="AB142" s="346"/>
      <c r="AC142" s="93"/>
      <c r="AD142" s="94"/>
      <c r="AE142" s="94"/>
      <c r="AF142" s="330"/>
      <c r="AG142" s="347"/>
      <c r="AH142" s="92"/>
      <c r="AI142" s="94"/>
      <c r="AJ142" s="95"/>
      <c r="AK142" s="95"/>
      <c r="AL142" s="95"/>
      <c r="AM142" s="94"/>
      <c r="AN142" s="346"/>
      <c r="AO142" s="93"/>
      <c r="AP142" s="94"/>
      <c r="AQ142" s="94"/>
      <c r="AR142" s="330"/>
      <c r="AS142" s="347"/>
      <c r="AT142" s="92"/>
      <c r="AU142" s="94"/>
      <c r="AV142" s="95"/>
      <c r="AW142" s="95"/>
      <c r="AX142" s="95"/>
      <c r="AY142" s="94"/>
      <c r="AZ142" s="346"/>
      <c r="BA142" s="93"/>
      <c r="BB142" s="94"/>
      <c r="BC142" s="94"/>
      <c r="BD142" s="330"/>
      <c r="BE142" s="347"/>
      <c r="BF142" s="92"/>
      <c r="BG142" s="94"/>
      <c r="BH142" s="95"/>
      <c r="BI142" s="95"/>
      <c r="BJ142" s="95"/>
      <c r="BK142" s="94"/>
      <c r="BL142" s="346"/>
      <c r="BM142" s="93"/>
      <c r="BN142" s="94"/>
      <c r="BO142" s="94"/>
      <c r="BP142" s="330"/>
      <c r="BQ142" s="347"/>
      <c r="BR142" s="92"/>
      <c r="BS142" s="94"/>
      <c r="BT142" s="95"/>
      <c r="BU142" s="95"/>
      <c r="BV142" s="95"/>
      <c r="BW142" s="94"/>
      <c r="BX142" s="346"/>
      <c r="BY142" s="93"/>
      <c r="BZ142" s="94"/>
      <c r="CA142" s="94"/>
      <c r="CB142" s="330"/>
      <c r="CC142" s="347"/>
      <c r="CD142" s="92"/>
      <c r="CE142" s="94"/>
      <c r="CF142" s="95"/>
      <c r="CG142" s="95"/>
      <c r="CH142" s="95"/>
      <c r="CI142" s="94"/>
    </row>
    <row r="143" spans="1:87" x14ac:dyDescent="0.2">
      <c r="A143" s="8">
        <v>134</v>
      </c>
      <c r="B143" s="1125">
        <f>'Membership Record'!B144</f>
        <v>0</v>
      </c>
      <c r="C143" s="1125"/>
      <c r="D143" s="87">
        <f>'Membership Record'!G144+'Membership Record'!P144</f>
        <v>0</v>
      </c>
      <c r="E143" s="350">
        <f t="shared" si="19"/>
        <v>0</v>
      </c>
      <c r="F143" s="614">
        <f>'Membership Record'!H144+'Membership Record'!Q144</f>
        <v>0</v>
      </c>
      <c r="G143" s="615">
        <f t="shared" si="20"/>
        <v>0</v>
      </c>
      <c r="H143" s="614">
        <f>'Membership Record'!I144+'Membership Record'!R144</f>
        <v>0</v>
      </c>
      <c r="I143" s="616">
        <f t="shared" si="21"/>
        <v>0</v>
      </c>
      <c r="J143" s="614">
        <f>'Membership Record'!J144+'Membership Record'!S144</f>
        <v>0</v>
      </c>
      <c r="K143" s="618">
        <f t="shared" si="22"/>
        <v>0</v>
      </c>
      <c r="L143" s="618">
        <f>'Membership Record'!K144+'Membership Record'!T144</f>
        <v>0</v>
      </c>
      <c r="M143" s="615">
        <f t="shared" si="23"/>
        <v>0</v>
      </c>
      <c r="N143" s="614">
        <f>'Membership Record'!L144+'Membership Record'!U144</f>
        <v>0</v>
      </c>
      <c r="O143" s="619">
        <f t="shared" si="24"/>
        <v>0</v>
      </c>
      <c r="P143" s="346"/>
      <c r="Q143" s="93"/>
      <c r="R143" s="94"/>
      <c r="S143" s="94"/>
      <c r="T143" s="330"/>
      <c r="U143" s="347"/>
      <c r="V143" s="92"/>
      <c r="W143" s="94"/>
      <c r="X143" s="95"/>
      <c r="Y143" s="95"/>
      <c r="Z143" s="95"/>
      <c r="AA143" s="94"/>
      <c r="AB143" s="346"/>
      <c r="AC143" s="93"/>
      <c r="AD143" s="94"/>
      <c r="AE143" s="94"/>
      <c r="AF143" s="330"/>
      <c r="AG143" s="347"/>
      <c r="AH143" s="92"/>
      <c r="AI143" s="94"/>
      <c r="AJ143" s="95"/>
      <c r="AK143" s="95"/>
      <c r="AL143" s="95"/>
      <c r="AM143" s="94"/>
      <c r="AN143" s="346"/>
      <c r="AO143" s="93"/>
      <c r="AP143" s="94"/>
      <c r="AQ143" s="94"/>
      <c r="AR143" s="330"/>
      <c r="AS143" s="347"/>
      <c r="AT143" s="92"/>
      <c r="AU143" s="94"/>
      <c r="AV143" s="95"/>
      <c r="AW143" s="95"/>
      <c r="AX143" s="95"/>
      <c r="AY143" s="94"/>
      <c r="AZ143" s="346"/>
      <c r="BA143" s="93"/>
      <c r="BB143" s="94"/>
      <c r="BC143" s="94"/>
      <c r="BD143" s="330"/>
      <c r="BE143" s="347"/>
      <c r="BF143" s="92"/>
      <c r="BG143" s="94"/>
      <c r="BH143" s="95"/>
      <c r="BI143" s="95"/>
      <c r="BJ143" s="95"/>
      <c r="BK143" s="94"/>
      <c r="BL143" s="346"/>
      <c r="BM143" s="93"/>
      <c r="BN143" s="94"/>
      <c r="BO143" s="94"/>
      <c r="BP143" s="330"/>
      <c r="BQ143" s="347"/>
      <c r="BR143" s="92"/>
      <c r="BS143" s="94"/>
      <c r="BT143" s="95"/>
      <c r="BU143" s="95"/>
      <c r="BV143" s="95"/>
      <c r="BW143" s="94"/>
      <c r="BX143" s="346"/>
      <c r="BY143" s="93"/>
      <c r="BZ143" s="94"/>
      <c r="CA143" s="94"/>
      <c r="CB143" s="330"/>
      <c r="CC143" s="347"/>
      <c r="CD143" s="92"/>
      <c r="CE143" s="94"/>
      <c r="CF143" s="95"/>
      <c r="CG143" s="95"/>
      <c r="CH143" s="95"/>
      <c r="CI143" s="94"/>
    </row>
    <row r="144" spans="1:87" x14ac:dyDescent="0.2">
      <c r="A144" s="8">
        <v>135</v>
      </c>
      <c r="B144" s="1125">
        <f>'Membership Record'!B145</f>
        <v>0</v>
      </c>
      <c r="C144" s="1125"/>
      <c r="D144" s="87">
        <f>'Membership Record'!G145+'Membership Record'!P145</f>
        <v>0</v>
      </c>
      <c r="E144" s="350">
        <f t="shared" si="19"/>
        <v>0</v>
      </c>
      <c r="F144" s="614">
        <f>'Membership Record'!H145+'Membership Record'!Q145</f>
        <v>0</v>
      </c>
      <c r="G144" s="615">
        <f t="shared" si="20"/>
        <v>0</v>
      </c>
      <c r="H144" s="614">
        <f>'Membership Record'!I145+'Membership Record'!R145</f>
        <v>0</v>
      </c>
      <c r="I144" s="616">
        <f t="shared" si="21"/>
        <v>0</v>
      </c>
      <c r="J144" s="614">
        <f>'Membership Record'!J145+'Membership Record'!S145</f>
        <v>0</v>
      </c>
      <c r="K144" s="618">
        <f t="shared" si="22"/>
        <v>0</v>
      </c>
      <c r="L144" s="618">
        <f>'Membership Record'!K145+'Membership Record'!T145</f>
        <v>0</v>
      </c>
      <c r="M144" s="615">
        <f t="shared" si="23"/>
        <v>0</v>
      </c>
      <c r="N144" s="614">
        <f>'Membership Record'!L145+'Membership Record'!U145</f>
        <v>0</v>
      </c>
      <c r="O144" s="619">
        <f t="shared" si="24"/>
        <v>0</v>
      </c>
      <c r="P144" s="346"/>
      <c r="Q144" s="93"/>
      <c r="R144" s="94"/>
      <c r="S144" s="94"/>
      <c r="T144" s="330"/>
      <c r="U144" s="347"/>
      <c r="V144" s="92"/>
      <c r="W144" s="94"/>
      <c r="X144" s="95"/>
      <c r="Y144" s="95"/>
      <c r="Z144" s="95"/>
      <c r="AA144" s="94"/>
      <c r="AB144" s="346"/>
      <c r="AC144" s="93"/>
      <c r="AD144" s="94"/>
      <c r="AE144" s="94"/>
      <c r="AF144" s="330"/>
      <c r="AG144" s="347"/>
      <c r="AH144" s="92"/>
      <c r="AI144" s="94"/>
      <c r="AJ144" s="95"/>
      <c r="AK144" s="95"/>
      <c r="AL144" s="95"/>
      <c r="AM144" s="94"/>
      <c r="AN144" s="346"/>
      <c r="AO144" s="93"/>
      <c r="AP144" s="94"/>
      <c r="AQ144" s="94"/>
      <c r="AR144" s="330"/>
      <c r="AS144" s="347"/>
      <c r="AT144" s="92"/>
      <c r="AU144" s="94"/>
      <c r="AV144" s="95"/>
      <c r="AW144" s="95"/>
      <c r="AX144" s="95"/>
      <c r="AY144" s="94"/>
      <c r="AZ144" s="346"/>
      <c r="BA144" s="93"/>
      <c r="BB144" s="94"/>
      <c r="BC144" s="94"/>
      <c r="BD144" s="330"/>
      <c r="BE144" s="347"/>
      <c r="BF144" s="92"/>
      <c r="BG144" s="94"/>
      <c r="BH144" s="95"/>
      <c r="BI144" s="95"/>
      <c r="BJ144" s="95"/>
      <c r="BK144" s="94"/>
      <c r="BL144" s="346"/>
      <c r="BM144" s="93"/>
      <c r="BN144" s="94"/>
      <c r="BO144" s="94"/>
      <c r="BP144" s="330"/>
      <c r="BQ144" s="347"/>
      <c r="BR144" s="92"/>
      <c r="BS144" s="94"/>
      <c r="BT144" s="95"/>
      <c r="BU144" s="95"/>
      <c r="BV144" s="95"/>
      <c r="BW144" s="94"/>
      <c r="BX144" s="346"/>
      <c r="BY144" s="93"/>
      <c r="BZ144" s="94"/>
      <c r="CA144" s="94"/>
      <c r="CB144" s="330"/>
      <c r="CC144" s="347"/>
      <c r="CD144" s="92"/>
      <c r="CE144" s="94"/>
      <c r="CF144" s="95"/>
      <c r="CG144" s="95"/>
      <c r="CH144" s="95"/>
      <c r="CI144" s="94"/>
    </row>
    <row r="145" spans="1:87" x14ac:dyDescent="0.2">
      <c r="A145" s="8">
        <v>136</v>
      </c>
      <c r="B145" s="1125">
        <f>'Membership Record'!B146</f>
        <v>0</v>
      </c>
      <c r="C145" s="1125"/>
      <c r="D145" s="87">
        <f>'Membership Record'!G146+'Membership Record'!P146</f>
        <v>0</v>
      </c>
      <c r="E145" s="350">
        <f t="shared" si="19"/>
        <v>0</v>
      </c>
      <c r="F145" s="614">
        <f>'Membership Record'!H146+'Membership Record'!Q146</f>
        <v>0</v>
      </c>
      <c r="G145" s="615">
        <f t="shared" si="20"/>
        <v>0</v>
      </c>
      <c r="H145" s="614">
        <f>'Membership Record'!I146+'Membership Record'!R146</f>
        <v>0</v>
      </c>
      <c r="I145" s="616">
        <f t="shared" si="21"/>
        <v>0</v>
      </c>
      <c r="J145" s="614">
        <f>'Membership Record'!J146+'Membership Record'!S146</f>
        <v>0</v>
      </c>
      <c r="K145" s="618">
        <f t="shared" si="22"/>
        <v>0</v>
      </c>
      <c r="L145" s="618">
        <f>'Membership Record'!K146+'Membership Record'!T146</f>
        <v>0</v>
      </c>
      <c r="M145" s="615">
        <f t="shared" si="23"/>
        <v>0</v>
      </c>
      <c r="N145" s="614">
        <f>'Membership Record'!L146+'Membership Record'!U146</f>
        <v>0</v>
      </c>
      <c r="O145" s="619">
        <f t="shared" si="24"/>
        <v>0</v>
      </c>
      <c r="P145" s="346"/>
      <c r="Q145" s="93"/>
      <c r="R145" s="94"/>
      <c r="S145" s="94"/>
      <c r="T145" s="330"/>
      <c r="U145" s="347"/>
      <c r="V145" s="92"/>
      <c r="W145" s="94"/>
      <c r="X145" s="95"/>
      <c r="Y145" s="95"/>
      <c r="Z145" s="95"/>
      <c r="AA145" s="94"/>
      <c r="AB145" s="346"/>
      <c r="AC145" s="93"/>
      <c r="AD145" s="94"/>
      <c r="AE145" s="94"/>
      <c r="AF145" s="330"/>
      <c r="AG145" s="347"/>
      <c r="AH145" s="92"/>
      <c r="AI145" s="94"/>
      <c r="AJ145" s="95"/>
      <c r="AK145" s="95"/>
      <c r="AL145" s="95"/>
      <c r="AM145" s="94"/>
      <c r="AN145" s="346"/>
      <c r="AO145" s="93"/>
      <c r="AP145" s="94"/>
      <c r="AQ145" s="94"/>
      <c r="AR145" s="330"/>
      <c r="AS145" s="347"/>
      <c r="AT145" s="92"/>
      <c r="AU145" s="94"/>
      <c r="AV145" s="95"/>
      <c r="AW145" s="95"/>
      <c r="AX145" s="95"/>
      <c r="AY145" s="94"/>
      <c r="AZ145" s="346"/>
      <c r="BA145" s="93"/>
      <c r="BB145" s="94"/>
      <c r="BC145" s="94"/>
      <c r="BD145" s="330"/>
      <c r="BE145" s="347"/>
      <c r="BF145" s="92"/>
      <c r="BG145" s="94"/>
      <c r="BH145" s="95"/>
      <c r="BI145" s="95"/>
      <c r="BJ145" s="95"/>
      <c r="BK145" s="94"/>
      <c r="BL145" s="346"/>
      <c r="BM145" s="93"/>
      <c r="BN145" s="94"/>
      <c r="BO145" s="94"/>
      <c r="BP145" s="330"/>
      <c r="BQ145" s="347"/>
      <c r="BR145" s="92"/>
      <c r="BS145" s="94"/>
      <c r="BT145" s="95"/>
      <c r="BU145" s="95"/>
      <c r="BV145" s="95"/>
      <c r="BW145" s="94"/>
      <c r="BX145" s="346"/>
      <c r="BY145" s="93"/>
      <c r="BZ145" s="94"/>
      <c r="CA145" s="94"/>
      <c r="CB145" s="330"/>
      <c r="CC145" s="347"/>
      <c r="CD145" s="92"/>
      <c r="CE145" s="94"/>
      <c r="CF145" s="95"/>
      <c r="CG145" s="95"/>
      <c r="CH145" s="95"/>
      <c r="CI145" s="94"/>
    </row>
    <row r="146" spans="1:87" x14ac:dyDescent="0.2">
      <c r="A146" s="8">
        <v>137</v>
      </c>
      <c r="B146" s="1125">
        <f>'Membership Record'!B147</f>
        <v>0</v>
      </c>
      <c r="C146" s="1125"/>
      <c r="D146" s="87">
        <f>'Membership Record'!G147+'Membership Record'!P147</f>
        <v>0</v>
      </c>
      <c r="E146" s="350">
        <f t="shared" si="19"/>
        <v>0</v>
      </c>
      <c r="F146" s="614">
        <f>'Membership Record'!H147+'Membership Record'!Q147</f>
        <v>0</v>
      </c>
      <c r="G146" s="615">
        <f t="shared" si="20"/>
        <v>0</v>
      </c>
      <c r="H146" s="614">
        <f>'Membership Record'!I147+'Membership Record'!R147</f>
        <v>0</v>
      </c>
      <c r="I146" s="616">
        <f t="shared" si="21"/>
        <v>0</v>
      </c>
      <c r="J146" s="614">
        <f>'Membership Record'!J147+'Membership Record'!S147</f>
        <v>0</v>
      </c>
      <c r="K146" s="618">
        <f t="shared" si="22"/>
        <v>0</v>
      </c>
      <c r="L146" s="618">
        <f>'Membership Record'!K147+'Membership Record'!T147</f>
        <v>0</v>
      </c>
      <c r="M146" s="615">
        <f t="shared" si="23"/>
        <v>0</v>
      </c>
      <c r="N146" s="614">
        <f>'Membership Record'!L147+'Membership Record'!U147</f>
        <v>0</v>
      </c>
      <c r="O146" s="619">
        <f t="shared" si="24"/>
        <v>0</v>
      </c>
      <c r="P146" s="346"/>
      <c r="Q146" s="93"/>
      <c r="R146" s="94"/>
      <c r="S146" s="94"/>
      <c r="T146" s="330"/>
      <c r="U146" s="347"/>
      <c r="V146" s="92"/>
      <c r="W146" s="94"/>
      <c r="X146" s="95"/>
      <c r="Y146" s="95"/>
      <c r="Z146" s="95"/>
      <c r="AA146" s="94"/>
      <c r="AB146" s="346"/>
      <c r="AC146" s="93"/>
      <c r="AD146" s="94"/>
      <c r="AE146" s="94"/>
      <c r="AF146" s="330"/>
      <c r="AG146" s="347"/>
      <c r="AH146" s="92"/>
      <c r="AI146" s="94"/>
      <c r="AJ146" s="95"/>
      <c r="AK146" s="95"/>
      <c r="AL146" s="95"/>
      <c r="AM146" s="94"/>
      <c r="AN146" s="346"/>
      <c r="AO146" s="93"/>
      <c r="AP146" s="94"/>
      <c r="AQ146" s="94"/>
      <c r="AR146" s="330"/>
      <c r="AS146" s="347"/>
      <c r="AT146" s="92"/>
      <c r="AU146" s="94"/>
      <c r="AV146" s="95"/>
      <c r="AW146" s="95"/>
      <c r="AX146" s="95"/>
      <c r="AY146" s="94"/>
      <c r="AZ146" s="346"/>
      <c r="BA146" s="93"/>
      <c r="BB146" s="94"/>
      <c r="BC146" s="94"/>
      <c r="BD146" s="330"/>
      <c r="BE146" s="347"/>
      <c r="BF146" s="92"/>
      <c r="BG146" s="94"/>
      <c r="BH146" s="95"/>
      <c r="BI146" s="95"/>
      <c r="BJ146" s="95"/>
      <c r="BK146" s="94"/>
      <c r="BL146" s="346"/>
      <c r="BM146" s="93"/>
      <c r="BN146" s="94"/>
      <c r="BO146" s="94"/>
      <c r="BP146" s="330"/>
      <c r="BQ146" s="347"/>
      <c r="BR146" s="92"/>
      <c r="BS146" s="94"/>
      <c r="BT146" s="95"/>
      <c r="BU146" s="95"/>
      <c r="BV146" s="95"/>
      <c r="BW146" s="94"/>
      <c r="BX146" s="346"/>
      <c r="BY146" s="93"/>
      <c r="BZ146" s="94"/>
      <c r="CA146" s="94"/>
      <c r="CB146" s="330"/>
      <c r="CC146" s="347"/>
      <c r="CD146" s="92"/>
      <c r="CE146" s="94"/>
      <c r="CF146" s="95"/>
      <c r="CG146" s="95"/>
      <c r="CH146" s="95"/>
      <c r="CI146" s="94"/>
    </row>
    <row r="147" spans="1:87" x14ac:dyDescent="0.2">
      <c r="A147" s="8">
        <v>138</v>
      </c>
      <c r="B147" s="1125">
        <f>'Membership Record'!B148</f>
        <v>0</v>
      </c>
      <c r="C147" s="1125"/>
      <c r="D147" s="87">
        <f>'Membership Record'!G148+'Membership Record'!P148</f>
        <v>0</v>
      </c>
      <c r="E147" s="350">
        <f t="shared" si="19"/>
        <v>0</v>
      </c>
      <c r="F147" s="614">
        <f>'Membership Record'!H148+'Membership Record'!Q148</f>
        <v>0</v>
      </c>
      <c r="G147" s="615">
        <f t="shared" si="20"/>
        <v>0</v>
      </c>
      <c r="H147" s="614">
        <f>'Membership Record'!I148+'Membership Record'!R148</f>
        <v>0</v>
      </c>
      <c r="I147" s="616">
        <f t="shared" si="21"/>
        <v>0</v>
      </c>
      <c r="J147" s="614">
        <f>'Membership Record'!J148+'Membership Record'!S148</f>
        <v>0</v>
      </c>
      <c r="K147" s="618">
        <f t="shared" si="22"/>
        <v>0</v>
      </c>
      <c r="L147" s="618">
        <f>'Membership Record'!K148+'Membership Record'!T148</f>
        <v>0</v>
      </c>
      <c r="M147" s="615">
        <f t="shared" si="23"/>
        <v>0</v>
      </c>
      <c r="N147" s="614">
        <f>'Membership Record'!L148+'Membership Record'!U148</f>
        <v>0</v>
      </c>
      <c r="O147" s="619">
        <f t="shared" si="24"/>
        <v>0</v>
      </c>
      <c r="P147" s="346"/>
      <c r="Q147" s="93"/>
      <c r="R147" s="94"/>
      <c r="S147" s="94"/>
      <c r="T147" s="330"/>
      <c r="U147" s="347"/>
      <c r="V147" s="92"/>
      <c r="W147" s="94"/>
      <c r="X147" s="95"/>
      <c r="Y147" s="95"/>
      <c r="Z147" s="95"/>
      <c r="AA147" s="94"/>
      <c r="AB147" s="346"/>
      <c r="AC147" s="93"/>
      <c r="AD147" s="94"/>
      <c r="AE147" s="94"/>
      <c r="AF147" s="330"/>
      <c r="AG147" s="347"/>
      <c r="AH147" s="92"/>
      <c r="AI147" s="94"/>
      <c r="AJ147" s="95"/>
      <c r="AK147" s="95"/>
      <c r="AL147" s="95"/>
      <c r="AM147" s="94"/>
      <c r="AN147" s="346"/>
      <c r="AO147" s="93"/>
      <c r="AP147" s="94"/>
      <c r="AQ147" s="94"/>
      <c r="AR147" s="330"/>
      <c r="AS147" s="347"/>
      <c r="AT147" s="92"/>
      <c r="AU147" s="94"/>
      <c r="AV147" s="95"/>
      <c r="AW147" s="95"/>
      <c r="AX147" s="95"/>
      <c r="AY147" s="94"/>
      <c r="AZ147" s="346"/>
      <c r="BA147" s="93"/>
      <c r="BB147" s="94"/>
      <c r="BC147" s="94"/>
      <c r="BD147" s="330"/>
      <c r="BE147" s="347"/>
      <c r="BF147" s="92"/>
      <c r="BG147" s="94"/>
      <c r="BH147" s="95"/>
      <c r="BI147" s="95"/>
      <c r="BJ147" s="95"/>
      <c r="BK147" s="94"/>
      <c r="BL147" s="346"/>
      <c r="BM147" s="93"/>
      <c r="BN147" s="94"/>
      <c r="BO147" s="94"/>
      <c r="BP147" s="330"/>
      <c r="BQ147" s="347"/>
      <c r="BR147" s="92"/>
      <c r="BS147" s="94"/>
      <c r="BT147" s="95"/>
      <c r="BU147" s="95"/>
      <c r="BV147" s="95"/>
      <c r="BW147" s="94"/>
      <c r="BX147" s="346"/>
      <c r="BY147" s="93"/>
      <c r="BZ147" s="94"/>
      <c r="CA147" s="94"/>
      <c r="CB147" s="330"/>
      <c r="CC147" s="347"/>
      <c r="CD147" s="92"/>
      <c r="CE147" s="94"/>
      <c r="CF147" s="95"/>
      <c r="CG147" s="95"/>
      <c r="CH147" s="95"/>
      <c r="CI147" s="94"/>
    </row>
    <row r="148" spans="1:87" x14ac:dyDescent="0.2">
      <c r="A148" s="8">
        <v>139</v>
      </c>
      <c r="B148" s="1125">
        <f>'Membership Record'!B149</f>
        <v>0</v>
      </c>
      <c r="C148" s="1125"/>
      <c r="D148" s="87">
        <f>'Membership Record'!G149+'Membership Record'!P149</f>
        <v>0</v>
      </c>
      <c r="E148" s="350">
        <f t="shared" si="19"/>
        <v>0</v>
      </c>
      <c r="F148" s="614">
        <f>'Membership Record'!H149+'Membership Record'!Q149</f>
        <v>0</v>
      </c>
      <c r="G148" s="615">
        <f t="shared" si="20"/>
        <v>0</v>
      </c>
      <c r="H148" s="614">
        <f>'Membership Record'!I149+'Membership Record'!R149</f>
        <v>0</v>
      </c>
      <c r="I148" s="616">
        <f t="shared" si="21"/>
        <v>0</v>
      </c>
      <c r="J148" s="614">
        <f>'Membership Record'!J149+'Membership Record'!S149</f>
        <v>0</v>
      </c>
      <c r="K148" s="618">
        <f t="shared" si="22"/>
        <v>0</v>
      </c>
      <c r="L148" s="618">
        <f>'Membership Record'!K149+'Membership Record'!T149</f>
        <v>0</v>
      </c>
      <c r="M148" s="615">
        <f t="shared" si="23"/>
        <v>0</v>
      </c>
      <c r="N148" s="614">
        <f>'Membership Record'!L149+'Membership Record'!U149</f>
        <v>0</v>
      </c>
      <c r="O148" s="619">
        <f t="shared" si="24"/>
        <v>0</v>
      </c>
      <c r="P148" s="346"/>
      <c r="Q148" s="93"/>
      <c r="R148" s="94"/>
      <c r="S148" s="94"/>
      <c r="T148" s="330"/>
      <c r="U148" s="347"/>
      <c r="V148" s="92"/>
      <c r="W148" s="94"/>
      <c r="X148" s="95"/>
      <c r="Y148" s="95"/>
      <c r="Z148" s="95"/>
      <c r="AA148" s="94"/>
      <c r="AB148" s="346"/>
      <c r="AC148" s="93"/>
      <c r="AD148" s="94"/>
      <c r="AE148" s="94"/>
      <c r="AF148" s="330"/>
      <c r="AG148" s="347"/>
      <c r="AH148" s="92"/>
      <c r="AI148" s="94"/>
      <c r="AJ148" s="95"/>
      <c r="AK148" s="95"/>
      <c r="AL148" s="95"/>
      <c r="AM148" s="94"/>
      <c r="AN148" s="346"/>
      <c r="AO148" s="93"/>
      <c r="AP148" s="94"/>
      <c r="AQ148" s="94"/>
      <c r="AR148" s="330"/>
      <c r="AS148" s="347"/>
      <c r="AT148" s="92"/>
      <c r="AU148" s="94"/>
      <c r="AV148" s="95"/>
      <c r="AW148" s="95"/>
      <c r="AX148" s="95"/>
      <c r="AY148" s="94"/>
      <c r="AZ148" s="346"/>
      <c r="BA148" s="93"/>
      <c r="BB148" s="94"/>
      <c r="BC148" s="94"/>
      <c r="BD148" s="330"/>
      <c r="BE148" s="347"/>
      <c r="BF148" s="92"/>
      <c r="BG148" s="94"/>
      <c r="BH148" s="95"/>
      <c r="BI148" s="95"/>
      <c r="BJ148" s="95"/>
      <c r="BK148" s="94"/>
      <c r="BL148" s="346"/>
      <c r="BM148" s="93"/>
      <c r="BN148" s="94"/>
      <c r="BO148" s="94"/>
      <c r="BP148" s="330"/>
      <c r="BQ148" s="347"/>
      <c r="BR148" s="92"/>
      <c r="BS148" s="94"/>
      <c r="BT148" s="95"/>
      <c r="BU148" s="95"/>
      <c r="BV148" s="95"/>
      <c r="BW148" s="94"/>
      <c r="BX148" s="346"/>
      <c r="BY148" s="93"/>
      <c r="BZ148" s="94"/>
      <c r="CA148" s="94"/>
      <c r="CB148" s="330"/>
      <c r="CC148" s="347"/>
      <c r="CD148" s="92"/>
      <c r="CE148" s="94"/>
      <c r="CF148" s="95"/>
      <c r="CG148" s="95"/>
      <c r="CH148" s="95"/>
      <c r="CI148" s="94"/>
    </row>
    <row r="149" spans="1:87" x14ac:dyDescent="0.2">
      <c r="A149" s="8">
        <v>140</v>
      </c>
      <c r="B149" s="1125">
        <f>'Membership Record'!B150</f>
        <v>0</v>
      </c>
      <c r="C149" s="1125"/>
      <c r="D149" s="87">
        <f>'Membership Record'!G150+'Membership Record'!P150</f>
        <v>0</v>
      </c>
      <c r="E149" s="350">
        <f t="shared" si="19"/>
        <v>0</v>
      </c>
      <c r="F149" s="614">
        <f>'Membership Record'!H150+'Membership Record'!Q150</f>
        <v>0</v>
      </c>
      <c r="G149" s="615">
        <f t="shared" si="20"/>
        <v>0</v>
      </c>
      <c r="H149" s="614">
        <f>'Membership Record'!I150+'Membership Record'!R150</f>
        <v>0</v>
      </c>
      <c r="I149" s="616">
        <f t="shared" si="21"/>
        <v>0</v>
      </c>
      <c r="J149" s="614">
        <f>'Membership Record'!J150+'Membership Record'!S150</f>
        <v>0</v>
      </c>
      <c r="K149" s="618">
        <f t="shared" si="22"/>
        <v>0</v>
      </c>
      <c r="L149" s="618">
        <f>'Membership Record'!K150+'Membership Record'!T150</f>
        <v>0</v>
      </c>
      <c r="M149" s="615">
        <f t="shared" si="23"/>
        <v>0</v>
      </c>
      <c r="N149" s="614">
        <f>'Membership Record'!L150+'Membership Record'!U150</f>
        <v>0</v>
      </c>
      <c r="O149" s="619">
        <f t="shared" si="24"/>
        <v>0</v>
      </c>
      <c r="P149" s="346"/>
      <c r="Q149" s="93"/>
      <c r="R149" s="94"/>
      <c r="S149" s="94"/>
      <c r="T149" s="330"/>
      <c r="U149" s="347"/>
      <c r="V149" s="92"/>
      <c r="W149" s="94"/>
      <c r="X149" s="95"/>
      <c r="Y149" s="95"/>
      <c r="Z149" s="95"/>
      <c r="AA149" s="94"/>
      <c r="AB149" s="346"/>
      <c r="AC149" s="93"/>
      <c r="AD149" s="94"/>
      <c r="AE149" s="94"/>
      <c r="AF149" s="330"/>
      <c r="AG149" s="347"/>
      <c r="AH149" s="92"/>
      <c r="AI149" s="94"/>
      <c r="AJ149" s="95"/>
      <c r="AK149" s="95"/>
      <c r="AL149" s="95"/>
      <c r="AM149" s="94"/>
      <c r="AN149" s="346"/>
      <c r="AO149" s="93"/>
      <c r="AP149" s="94"/>
      <c r="AQ149" s="94"/>
      <c r="AR149" s="330"/>
      <c r="AS149" s="347"/>
      <c r="AT149" s="92"/>
      <c r="AU149" s="94"/>
      <c r="AV149" s="95"/>
      <c r="AW149" s="95"/>
      <c r="AX149" s="95"/>
      <c r="AY149" s="94"/>
      <c r="AZ149" s="346"/>
      <c r="BA149" s="93"/>
      <c r="BB149" s="94"/>
      <c r="BC149" s="94"/>
      <c r="BD149" s="330"/>
      <c r="BE149" s="347"/>
      <c r="BF149" s="92"/>
      <c r="BG149" s="94"/>
      <c r="BH149" s="95"/>
      <c r="BI149" s="95"/>
      <c r="BJ149" s="95"/>
      <c r="BK149" s="94"/>
      <c r="BL149" s="346"/>
      <c r="BM149" s="93"/>
      <c r="BN149" s="94"/>
      <c r="BO149" s="94"/>
      <c r="BP149" s="330"/>
      <c r="BQ149" s="347"/>
      <c r="BR149" s="92"/>
      <c r="BS149" s="94"/>
      <c r="BT149" s="95"/>
      <c r="BU149" s="95"/>
      <c r="BV149" s="95"/>
      <c r="BW149" s="94"/>
      <c r="BX149" s="346"/>
      <c r="BY149" s="93"/>
      <c r="BZ149" s="94"/>
      <c r="CA149" s="94"/>
      <c r="CB149" s="330"/>
      <c r="CC149" s="347"/>
      <c r="CD149" s="92"/>
      <c r="CE149" s="94"/>
      <c r="CF149" s="95"/>
      <c r="CG149" s="95"/>
      <c r="CH149" s="95"/>
      <c r="CI149" s="94"/>
    </row>
    <row r="150" spans="1:87" x14ac:dyDescent="0.2">
      <c r="A150" s="8">
        <v>141</v>
      </c>
      <c r="B150" s="1125">
        <f>'Membership Record'!B151</f>
        <v>0</v>
      </c>
      <c r="C150" s="1125"/>
      <c r="D150" s="87">
        <f>'Membership Record'!G151+'Membership Record'!P151</f>
        <v>0</v>
      </c>
      <c r="E150" s="350">
        <f t="shared" si="19"/>
        <v>0</v>
      </c>
      <c r="F150" s="614">
        <f>'Membership Record'!H151+'Membership Record'!Q151</f>
        <v>0</v>
      </c>
      <c r="G150" s="615">
        <f t="shared" si="20"/>
        <v>0</v>
      </c>
      <c r="H150" s="614">
        <f>'Membership Record'!I151+'Membership Record'!R151</f>
        <v>0</v>
      </c>
      <c r="I150" s="616">
        <f t="shared" si="21"/>
        <v>0</v>
      </c>
      <c r="J150" s="614">
        <f>'Membership Record'!J151+'Membership Record'!S151</f>
        <v>0</v>
      </c>
      <c r="K150" s="618">
        <f t="shared" si="22"/>
        <v>0</v>
      </c>
      <c r="L150" s="618">
        <f>'Membership Record'!K151+'Membership Record'!T151</f>
        <v>0</v>
      </c>
      <c r="M150" s="615">
        <f t="shared" si="23"/>
        <v>0</v>
      </c>
      <c r="N150" s="614">
        <f>'Membership Record'!L151+'Membership Record'!U151</f>
        <v>0</v>
      </c>
      <c r="O150" s="619">
        <f t="shared" si="24"/>
        <v>0</v>
      </c>
      <c r="P150" s="346"/>
      <c r="Q150" s="93"/>
      <c r="R150" s="94"/>
      <c r="S150" s="94"/>
      <c r="T150" s="330"/>
      <c r="U150" s="347"/>
      <c r="V150" s="92"/>
      <c r="W150" s="94"/>
      <c r="X150" s="95"/>
      <c r="Y150" s="95"/>
      <c r="Z150" s="95"/>
      <c r="AA150" s="94"/>
      <c r="AB150" s="346"/>
      <c r="AC150" s="93"/>
      <c r="AD150" s="94"/>
      <c r="AE150" s="94"/>
      <c r="AF150" s="330"/>
      <c r="AG150" s="347"/>
      <c r="AH150" s="92"/>
      <c r="AI150" s="94"/>
      <c r="AJ150" s="95"/>
      <c r="AK150" s="95"/>
      <c r="AL150" s="95"/>
      <c r="AM150" s="94"/>
      <c r="AN150" s="346"/>
      <c r="AO150" s="93"/>
      <c r="AP150" s="94"/>
      <c r="AQ150" s="94"/>
      <c r="AR150" s="330"/>
      <c r="AS150" s="347"/>
      <c r="AT150" s="92"/>
      <c r="AU150" s="94"/>
      <c r="AV150" s="95"/>
      <c r="AW150" s="95"/>
      <c r="AX150" s="95"/>
      <c r="AY150" s="94"/>
      <c r="AZ150" s="346"/>
      <c r="BA150" s="93"/>
      <c r="BB150" s="94"/>
      <c r="BC150" s="94"/>
      <c r="BD150" s="330"/>
      <c r="BE150" s="347"/>
      <c r="BF150" s="92"/>
      <c r="BG150" s="94"/>
      <c r="BH150" s="95"/>
      <c r="BI150" s="95"/>
      <c r="BJ150" s="95"/>
      <c r="BK150" s="94"/>
      <c r="BL150" s="346"/>
      <c r="BM150" s="93"/>
      <c r="BN150" s="94"/>
      <c r="BO150" s="94"/>
      <c r="BP150" s="330"/>
      <c r="BQ150" s="347"/>
      <c r="BR150" s="92"/>
      <c r="BS150" s="94"/>
      <c r="BT150" s="95"/>
      <c r="BU150" s="95"/>
      <c r="BV150" s="95"/>
      <c r="BW150" s="94"/>
      <c r="BX150" s="346"/>
      <c r="BY150" s="93"/>
      <c r="BZ150" s="94"/>
      <c r="CA150" s="94"/>
      <c r="CB150" s="330"/>
      <c r="CC150" s="347"/>
      <c r="CD150" s="92"/>
      <c r="CE150" s="94"/>
      <c r="CF150" s="95"/>
      <c r="CG150" s="95"/>
      <c r="CH150" s="95"/>
      <c r="CI150" s="94"/>
    </row>
    <row r="151" spans="1:87" x14ac:dyDescent="0.2">
      <c r="A151" s="8">
        <v>142</v>
      </c>
      <c r="B151" s="1125">
        <f>'Membership Record'!B152</f>
        <v>0</v>
      </c>
      <c r="C151" s="1125"/>
      <c r="D151" s="87">
        <f>'Membership Record'!G152+'Membership Record'!P152</f>
        <v>0</v>
      </c>
      <c r="E151" s="350">
        <f t="shared" si="19"/>
        <v>0</v>
      </c>
      <c r="F151" s="614">
        <f>'Membership Record'!H152+'Membership Record'!Q152</f>
        <v>0</v>
      </c>
      <c r="G151" s="615">
        <f t="shared" si="20"/>
        <v>0</v>
      </c>
      <c r="H151" s="614">
        <f>'Membership Record'!I152+'Membership Record'!R152</f>
        <v>0</v>
      </c>
      <c r="I151" s="616">
        <f t="shared" si="21"/>
        <v>0</v>
      </c>
      <c r="J151" s="614">
        <f>'Membership Record'!J152+'Membership Record'!S152</f>
        <v>0</v>
      </c>
      <c r="K151" s="618">
        <f t="shared" si="22"/>
        <v>0</v>
      </c>
      <c r="L151" s="618">
        <f>'Membership Record'!K152+'Membership Record'!T152</f>
        <v>0</v>
      </c>
      <c r="M151" s="615">
        <f t="shared" si="23"/>
        <v>0</v>
      </c>
      <c r="N151" s="614">
        <f>'Membership Record'!L152+'Membership Record'!U152</f>
        <v>0</v>
      </c>
      <c r="O151" s="619">
        <f t="shared" si="24"/>
        <v>0</v>
      </c>
      <c r="P151" s="346"/>
      <c r="Q151" s="93"/>
      <c r="R151" s="94"/>
      <c r="S151" s="94"/>
      <c r="T151" s="330"/>
      <c r="U151" s="347"/>
      <c r="V151" s="92"/>
      <c r="W151" s="94"/>
      <c r="X151" s="95"/>
      <c r="Y151" s="95"/>
      <c r="Z151" s="95"/>
      <c r="AA151" s="94"/>
      <c r="AB151" s="346"/>
      <c r="AC151" s="93"/>
      <c r="AD151" s="94"/>
      <c r="AE151" s="94"/>
      <c r="AF151" s="330"/>
      <c r="AG151" s="347"/>
      <c r="AH151" s="92"/>
      <c r="AI151" s="94"/>
      <c r="AJ151" s="95"/>
      <c r="AK151" s="95"/>
      <c r="AL151" s="95"/>
      <c r="AM151" s="94"/>
      <c r="AN151" s="346"/>
      <c r="AO151" s="93"/>
      <c r="AP151" s="94"/>
      <c r="AQ151" s="94"/>
      <c r="AR151" s="330"/>
      <c r="AS151" s="347"/>
      <c r="AT151" s="92"/>
      <c r="AU151" s="94"/>
      <c r="AV151" s="95"/>
      <c r="AW151" s="95"/>
      <c r="AX151" s="95"/>
      <c r="AY151" s="94"/>
      <c r="AZ151" s="346"/>
      <c r="BA151" s="93"/>
      <c r="BB151" s="94"/>
      <c r="BC151" s="94"/>
      <c r="BD151" s="330"/>
      <c r="BE151" s="347"/>
      <c r="BF151" s="92"/>
      <c r="BG151" s="94"/>
      <c r="BH151" s="95"/>
      <c r="BI151" s="95"/>
      <c r="BJ151" s="95"/>
      <c r="BK151" s="94"/>
      <c r="BL151" s="346"/>
      <c r="BM151" s="93"/>
      <c r="BN151" s="94"/>
      <c r="BO151" s="94"/>
      <c r="BP151" s="330"/>
      <c r="BQ151" s="347"/>
      <c r="BR151" s="92"/>
      <c r="BS151" s="94"/>
      <c r="BT151" s="95"/>
      <c r="BU151" s="95"/>
      <c r="BV151" s="95"/>
      <c r="BW151" s="94"/>
      <c r="BX151" s="346"/>
      <c r="BY151" s="93"/>
      <c r="BZ151" s="94"/>
      <c r="CA151" s="94"/>
      <c r="CB151" s="330"/>
      <c r="CC151" s="347"/>
      <c r="CD151" s="92"/>
      <c r="CE151" s="94"/>
      <c r="CF151" s="95"/>
      <c r="CG151" s="95"/>
      <c r="CH151" s="95"/>
      <c r="CI151" s="94"/>
    </row>
    <row r="152" spans="1:87" x14ac:dyDescent="0.2">
      <c r="A152" s="8">
        <v>143</v>
      </c>
      <c r="B152" s="1125">
        <f>'Membership Record'!B153</f>
        <v>0</v>
      </c>
      <c r="C152" s="1125"/>
      <c r="D152" s="87">
        <f>'Membership Record'!G153+'Membership Record'!P153</f>
        <v>0</v>
      </c>
      <c r="E152" s="350">
        <f t="shared" si="19"/>
        <v>0</v>
      </c>
      <c r="F152" s="614">
        <f>'Membership Record'!H153+'Membership Record'!Q153</f>
        <v>0</v>
      </c>
      <c r="G152" s="615">
        <f t="shared" si="20"/>
        <v>0</v>
      </c>
      <c r="H152" s="614">
        <f>'Membership Record'!I153+'Membership Record'!R153</f>
        <v>0</v>
      </c>
      <c r="I152" s="616">
        <f t="shared" si="21"/>
        <v>0</v>
      </c>
      <c r="J152" s="614">
        <f>'Membership Record'!J153+'Membership Record'!S153</f>
        <v>0</v>
      </c>
      <c r="K152" s="618">
        <f t="shared" si="22"/>
        <v>0</v>
      </c>
      <c r="L152" s="618">
        <f>'Membership Record'!K153+'Membership Record'!T153</f>
        <v>0</v>
      </c>
      <c r="M152" s="615">
        <f t="shared" si="23"/>
        <v>0</v>
      </c>
      <c r="N152" s="614">
        <f>'Membership Record'!L153+'Membership Record'!U153</f>
        <v>0</v>
      </c>
      <c r="O152" s="619">
        <f t="shared" si="24"/>
        <v>0</v>
      </c>
      <c r="P152" s="346"/>
      <c r="Q152" s="93"/>
      <c r="R152" s="94"/>
      <c r="S152" s="94"/>
      <c r="T152" s="330"/>
      <c r="U152" s="347"/>
      <c r="V152" s="92"/>
      <c r="W152" s="94"/>
      <c r="X152" s="95"/>
      <c r="Y152" s="95"/>
      <c r="Z152" s="95"/>
      <c r="AA152" s="94"/>
      <c r="AB152" s="346"/>
      <c r="AC152" s="93"/>
      <c r="AD152" s="94"/>
      <c r="AE152" s="94"/>
      <c r="AF152" s="330"/>
      <c r="AG152" s="347"/>
      <c r="AH152" s="92"/>
      <c r="AI152" s="94"/>
      <c r="AJ152" s="95"/>
      <c r="AK152" s="95"/>
      <c r="AL152" s="95"/>
      <c r="AM152" s="94"/>
      <c r="AN152" s="346"/>
      <c r="AO152" s="93"/>
      <c r="AP152" s="94"/>
      <c r="AQ152" s="94"/>
      <c r="AR152" s="330"/>
      <c r="AS152" s="347"/>
      <c r="AT152" s="92"/>
      <c r="AU152" s="94"/>
      <c r="AV152" s="95"/>
      <c r="AW152" s="95"/>
      <c r="AX152" s="95"/>
      <c r="AY152" s="94"/>
      <c r="AZ152" s="346"/>
      <c r="BA152" s="93"/>
      <c r="BB152" s="94"/>
      <c r="BC152" s="94"/>
      <c r="BD152" s="330"/>
      <c r="BE152" s="347"/>
      <c r="BF152" s="92"/>
      <c r="BG152" s="94"/>
      <c r="BH152" s="95"/>
      <c r="BI152" s="95"/>
      <c r="BJ152" s="95"/>
      <c r="BK152" s="94"/>
      <c r="BL152" s="346"/>
      <c r="BM152" s="93"/>
      <c r="BN152" s="94"/>
      <c r="BO152" s="94"/>
      <c r="BP152" s="330"/>
      <c r="BQ152" s="347"/>
      <c r="BR152" s="92"/>
      <c r="BS152" s="94"/>
      <c r="BT152" s="95"/>
      <c r="BU152" s="95"/>
      <c r="BV152" s="95"/>
      <c r="BW152" s="94"/>
      <c r="BX152" s="346"/>
      <c r="BY152" s="93"/>
      <c r="BZ152" s="94"/>
      <c r="CA152" s="94"/>
      <c r="CB152" s="330"/>
      <c r="CC152" s="347"/>
      <c r="CD152" s="92"/>
      <c r="CE152" s="94"/>
      <c r="CF152" s="95"/>
      <c r="CG152" s="95"/>
      <c r="CH152" s="95"/>
      <c r="CI152" s="94"/>
    </row>
    <row r="153" spans="1:87" x14ac:dyDescent="0.2">
      <c r="A153" s="8">
        <v>144</v>
      </c>
      <c r="B153" s="1125">
        <f>'Membership Record'!B154</f>
        <v>0</v>
      </c>
      <c r="C153" s="1125"/>
      <c r="D153" s="87">
        <f>'Membership Record'!G154+'Membership Record'!P154</f>
        <v>0</v>
      </c>
      <c r="E153" s="350">
        <f t="shared" si="19"/>
        <v>0</v>
      </c>
      <c r="F153" s="614">
        <f>'Membership Record'!H154+'Membership Record'!Q154</f>
        <v>0</v>
      </c>
      <c r="G153" s="615">
        <f t="shared" si="20"/>
        <v>0</v>
      </c>
      <c r="H153" s="614">
        <f>'Membership Record'!I154+'Membership Record'!R154</f>
        <v>0</v>
      </c>
      <c r="I153" s="616">
        <f t="shared" si="21"/>
        <v>0</v>
      </c>
      <c r="J153" s="614">
        <f>'Membership Record'!J154+'Membership Record'!S154</f>
        <v>0</v>
      </c>
      <c r="K153" s="618">
        <f t="shared" si="22"/>
        <v>0</v>
      </c>
      <c r="L153" s="618">
        <f>'Membership Record'!K154+'Membership Record'!T154</f>
        <v>0</v>
      </c>
      <c r="M153" s="615">
        <f t="shared" si="23"/>
        <v>0</v>
      </c>
      <c r="N153" s="614">
        <f>'Membership Record'!L154+'Membership Record'!U154</f>
        <v>0</v>
      </c>
      <c r="O153" s="619">
        <f t="shared" si="24"/>
        <v>0</v>
      </c>
      <c r="P153" s="346"/>
      <c r="Q153" s="93"/>
      <c r="R153" s="94"/>
      <c r="S153" s="94"/>
      <c r="T153" s="330"/>
      <c r="U153" s="347"/>
      <c r="V153" s="92"/>
      <c r="W153" s="94"/>
      <c r="X153" s="95"/>
      <c r="Y153" s="95"/>
      <c r="Z153" s="95"/>
      <c r="AA153" s="94"/>
      <c r="AB153" s="346"/>
      <c r="AC153" s="93"/>
      <c r="AD153" s="94"/>
      <c r="AE153" s="94"/>
      <c r="AF153" s="330"/>
      <c r="AG153" s="347"/>
      <c r="AH153" s="92"/>
      <c r="AI153" s="94"/>
      <c r="AJ153" s="95"/>
      <c r="AK153" s="95"/>
      <c r="AL153" s="95"/>
      <c r="AM153" s="94"/>
      <c r="AN153" s="346"/>
      <c r="AO153" s="93"/>
      <c r="AP153" s="94"/>
      <c r="AQ153" s="94"/>
      <c r="AR153" s="330"/>
      <c r="AS153" s="347"/>
      <c r="AT153" s="92"/>
      <c r="AU153" s="94"/>
      <c r="AV153" s="95"/>
      <c r="AW153" s="95"/>
      <c r="AX153" s="95"/>
      <c r="AY153" s="94"/>
      <c r="AZ153" s="346"/>
      <c r="BA153" s="93"/>
      <c r="BB153" s="94"/>
      <c r="BC153" s="94"/>
      <c r="BD153" s="330"/>
      <c r="BE153" s="347"/>
      <c r="BF153" s="92"/>
      <c r="BG153" s="94"/>
      <c r="BH153" s="95"/>
      <c r="BI153" s="95"/>
      <c r="BJ153" s="95"/>
      <c r="BK153" s="94"/>
      <c r="BL153" s="346"/>
      <c r="BM153" s="93"/>
      <c r="BN153" s="94"/>
      <c r="BO153" s="94"/>
      <c r="BP153" s="330"/>
      <c r="BQ153" s="347"/>
      <c r="BR153" s="92"/>
      <c r="BS153" s="94"/>
      <c r="BT153" s="95"/>
      <c r="BU153" s="95"/>
      <c r="BV153" s="95"/>
      <c r="BW153" s="94"/>
      <c r="BX153" s="346"/>
      <c r="BY153" s="93"/>
      <c r="BZ153" s="94"/>
      <c r="CA153" s="94"/>
      <c r="CB153" s="330"/>
      <c r="CC153" s="347"/>
      <c r="CD153" s="92"/>
      <c r="CE153" s="94"/>
      <c r="CF153" s="95"/>
      <c r="CG153" s="95"/>
      <c r="CH153" s="95"/>
      <c r="CI153" s="94"/>
    </row>
    <row r="154" spans="1:87" x14ac:dyDescent="0.2">
      <c r="A154" s="8">
        <v>145</v>
      </c>
      <c r="B154" s="1125">
        <f>'Membership Record'!B155</f>
        <v>0</v>
      </c>
      <c r="C154" s="1125"/>
      <c r="D154" s="87">
        <f>'Membership Record'!G155+'Membership Record'!P155</f>
        <v>0</v>
      </c>
      <c r="E154" s="350">
        <f t="shared" si="19"/>
        <v>0</v>
      </c>
      <c r="F154" s="614">
        <f>'Membership Record'!H155+'Membership Record'!Q155</f>
        <v>0</v>
      </c>
      <c r="G154" s="615">
        <f t="shared" si="20"/>
        <v>0</v>
      </c>
      <c r="H154" s="614">
        <f>'Membership Record'!I155+'Membership Record'!R155</f>
        <v>0</v>
      </c>
      <c r="I154" s="616">
        <f t="shared" si="21"/>
        <v>0</v>
      </c>
      <c r="J154" s="614">
        <f>'Membership Record'!J155+'Membership Record'!S155</f>
        <v>0</v>
      </c>
      <c r="K154" s="618">
        <f t="shared" si="22"/>
        <v>0</v>
      </c>
      <c r="L154" s="618">
        <f>'Membership Record'!K155+'Membership Record'!T155</f>
        <v>0</v>
      </c>
      <c r="M154" s="615">
        <f t="shared" si="23"/>
        <v>0</v>
      </c>
      <c r="N154" s="614">
        <f>'Membership Record'!L155+'Membership Record'!U155</f>
        <v>0</v>
      </c>
      <c r="O154" s="619">
        <f t="shared" si="24"/>
        <v>0</v>
      </c>
      <c r="P154" s="346"/>
      <c r="Q154" s="93"/>
      <c r="R154" s="94"/>
      <c r="S154" s="94"/>
      <c r="T154" s="330"/>
      <c r="U154" s="347"/>
      <c r="V154" s="92"/>
      <c r="W154" s="94"/>
      <c r="X154" s="95"/>
      <c r="Y154" s="95"/>
      <c r="Z154" s="95"/>
      <c r="AA154" s="94"/>
      <c r="AB154" s="346"/>
      <c r="AC154" s="93"/>
      <c r="AD154" s="94"/>
      <c r="AE154" s="94"/>
      <c r="AF154" s="330"/>
      <c r="AG154" s="347"/>
      <c r="AH154" s="92"/>
      <c r="AI154" s="94"/>
      <c r="AJ154" s="95"/>
      <c r="AK154" s="95"/>
      <c r="AL154" s="95"/>
      <c r="AM154" s="94"/>
      <c r="AN154" s="346"/>
      <c r="AO154" s="93"/>
      <c r="AP154" s="94"/>
      <c r="AQ154" s="94"/>
      <c r="AR154" s="330"/>
      <c r="AS154" s="347"/>
      <c r="AT154" s="92"/>
      <c r="AU154" s="94"/>
      <c r="AV154" s="95"/>
      <c r="AW154" s="95"/>
      <c r="AX154" s="95"/>
      <c r="AY154" s="94"/>
      <c r="AZ154" s="346"/>
      <c r="BA154" s="93"/>
      <c r="BB154" s="94"/>
      <c r="BC154" s="94"/>
      <c r="BD154" s="330"/>
      <c r="BE154" s="347"/>
      <c r="BF154" s="92"/>
      <c r="BG154" s="94"/>
      <c r="BH154" s="95"/>
      <c r="BI154" s="95"/>
      <c r="BJ154" s="95"/>
      <c r="BK154" s="94"/>
      <c r="BL154" s="346"/>
      <c r="BM154" s="93"/>
      <c r="BN154" s="94"/>
      <c r="BO154" s="94"/>
      <c r="BP154" s="330"/>
      <c r="BQ154" s="347"/>
      <c r="BR154" s="92"/>
      <c r="BS154" s="94"/>
      <c r="BT154" s="95"/>
      <c r="BU154" s="95"/>
      <c r="BV154" s="95"/>
      <c r="BW154" s="94"/>
      <c r="BX154" s="346"/>
      <c r="BY154" s="93"/>
      <c r="BZ154" s="94"/>
      <c r="CA154" s="94"/>
      <c r="CB154" s="330"/>
      <c r="CC154" s="347"/>
      <c r="CD154" s="92"/>
      <c r="CE154" s="94"/>
      <c r="CF154" s="95"/>
      <c r="CG154" s="95"/>
      <c r="CH154" s="95"/>
      <c r="CI154" s="94"/>
    </row>
    <row r="155" spans="1:87" x14ac:dyDescent="0.2">
      <c r="A155" s="8">
        <v>146</v>
      </c>
      <c r="B155" s="1125">
        <f>'Membership Record'!B156</f>
        <v>0</v>
      </c>
      <c r="C155" s="1125"/>
      <c r="D155" s="87">
        <f>'Membership Record'!G156+'Membership Record'!P156</f>
        <v>0</v>
      </c>
      <c r="E155" s="350">
        <f t="shared" si="19"/>
        <v>0</v>
      </c>
      <c r="F155" s="614">
        <f>'Membership Record'!H156+'Membership Record'!Q156</f>
        <v>0</v>
      </c>
      <c r="G155" s="615">
        <f t="shared" si="20"/>
        <v>0</v>
      </c>
      <c r="H155" s="614">
        <f>'Membership Record'!I156+'Membership Record'!R156</f>
        <v>0</v>
      </c>
      <c r="I155" s="616">
        <f t="shared" si="21"/>
        <v>0</v>
      </c>
      <c r="J155" s="614">
        <f>'Membership Record'!J156+'Membership Record'!S156</f>
        <v>0</v>
      </c>
      <c r="K155" s="618">
        <f t="shared" si="22"/>
        <v>0</v>
      </c>
      <c r="L155" s="618">
        <f>'Membership Record'!K156+'Membership Record'!T156</f>
        <v>0</v>
      </c>
      <c r="M155" s="615">
        <f t="shared" si="23"/>
        <v>0</v>
      </c>
      <c r="N155" s="614">
        <f>'Membership Record'!L156+'Membership Record'!U156</f>
        <v>0</v>
      </c>
      <c r="O155" s="619">
        <f t="shared" si="24"/>
        <v>0</v>
      </c>
      <c r="P155" s="346"/>
      <c r="Q155" s="93"/>
      <c r="R155" s="94"/>
      <c r="S155" s="94"/>
      <c r="T155" s="330"/>
      <c r="U155" s="347"/>
      <c r="V155" s="92"/>
      <c r="W155" s="94"/>
      <c r="X155" s="95"/>
      <c r="Y155" s="95"/>
      <c r="Z155" s="95"/>
      <c r="AA155" s="94"/>
      <c r="AB155" s="346"/>
      <c r="AC155" s="93"/>
      <c r="AD155" s="94"/>
      <c r="AE155" s="94"/>
      <c r="AF155" s="330"/>
      <c r="AG155" s="347"/>
      <c r="AH155" s="92"/>
      <c r="AI155" s="94"/>
      <c r="AJ155" s="95"/>
      <c r="AK155" s="95"/>
      <c r="AL155" s="95"/>
      <c r="AM155" s="94"/>
      <c r="AN155" s="346"/>
      <c r="AO155" s="93"/>
      <c r="AP155" s="94"/>
      <c r="AQ155" s="94"/>
      <c r="AR155" s="330"/>
      <c r="AS155" s="347"/>
      <c r="AT155" s="92"/>
      <c r="AU155" s="94"/>
      <c r="AV155" s="95"/>
      <c r="AW155" s="95"/>
      <c r="AX155" s="95"/>
      <c r="AY155" s="94"/>
      <c r="AZ155" s="346"/>
      <c r="BA155" s="93"/>
      <c r="BB155" s="94"/>
      <c r="BC155" s="94"/>
      <c r="BD155" s="330"/>
      <c r="BE155" s="347"/>
      <c r="BF155" s="92"/>
      <c r="BG155" s="94"/>
      <c r="BH155" s="95"/>
      <c r="BI155" s="95"/>
      <c r="BJ155" s="95"/>
      <c r="BK155" s="94"/>
      <c r="BL155" s="346"/>
      <c r="BM155" s="93"/>
      <c r="BN155" s="94"/>
      <c r="BO155" s="94"/>
      <c r="BP155" s="330"/>
      <c r="BQ155" s="347"/>
      <c r="BR155" s="92"/>
      <c r="BS155" s="94"/>
      <c r="BT155" s="95"/>
      <c r="BU155" s="95"/>
      <c r="BV155" s="95"/>
      <c r="BW155" s="94"/>
      <c r="BX155" s="346"/>
      <c r="BY155" s="93"/>
      <c r="BZ155" s="94"/>
      <c r="CA155" s="94"/>
      <c r="CB155" s="330"/>
      <c r="CC155" s="347"/>
      <c r="CD155" s="92"/>
      <c r="CE155" s="94"/>
      <c r="CF155" s="95"/>
      <c r="CG155" s="95"/>
      <c r="CH155" s="95"/>
      <c r="CI155" s="94"/>
    </row>
    <row r="156" spans="1:87" x14ac:dyDescent="0.2">
      <c r="A156" s="8">
        <v>147</v>
      </c>
      <c r="B156" s="1125">
        <f>'Membership Record'!B157</f>
        <v>0</v>
      </c>
      <c r="C156" s="1125"/>
      <c r="D156" s="87">
        <f>'Membership Record'!G157+'Membership Record'!P157</f>
        <v>0</v>
      </c>
      <c r="E156" s="350">
        <f t="shared" si="19"/>
        <v>0</v>
      </c>
      <c r="F156" s="614">
        <f>'Membership Record'!H157+'Membership Record'!Q157</f>
        <v>0</v>
      </c>
      <c r="G156" s="615">
        <f t="shared" si="20"/>
        <v>0</v>
      </c>
      <c r="H156" s="614">
        <f>'Membership Record'!I157+'Membership Record'!R157</f>
        <v>0</v>
      </c>
      <c r="I156" s="616">
        <f t="shared" si="21"/>
        <v>0</v>
      </c>
      <c r="J156" s="614">
        <f>'Membership Record'!J157+'Membership Record'!S157</f>
        <v>0</v>
      </c>
      <c r="K156" s="618">
        <f t="shared" si="22"/>
        <v>0</v>
      </c>
      <c r="L156" s="618">
        <f>'Membership Record'!K157+'Membership Record'!T157</f>
        <v>0</v>
      </c>
      <c r="M156" s="615">
        <f t="shared" si="23"/>
        <v>0</v>
      </c>
      <c r="N156" s="614">
        <f>'Membership Record'!L157+'Membership Record'!U157</f>
        <v>0</v>
      </c>
      <c r="O156" s="619">
        <f t="shared" si="24"/>
        <v>0</v>
      </c>
      <c r="P156" s="346"/>
      <c r="Q156" s="93"/>
      <c r="R156" s="94"/>
      <c r="S156" s="94"/>
      <c r="T156" s="330"/>
      <c r="U156" s="347"/>
      <c r="V156" s="92"/>
      <c r="W156" s="94"/>
      <c r="X156" s="95"/>
      <c r="Y156" s="95"/>
      <c r="Z156" s="95"/>
      <c r="AA156" s="94"/>
      <c r="AB156" s="346"/>
      <c r="AC156" s="93"/>
      <c r="AD156" s="94"/>
      <c r="AE156" s="94"/>
      <c r="AF156" s="330"/>
      <c r="AG156" s="347"/>
      <c r="AH156" s="92"/>
      <c r="AI156" s="94"/>
      <c r="AJ156" s="95"/>
      <c r="AK156" s="95"/>
      <c r="AL156" s="95"/>
      <c r="AM156" s="94"/>
      <c r="AN156" s="346"/>
      <c r="AO156" s="93"/>
      <c r="AP156" s="94"/>
      <c r="AQ156" s="94"/>
      <c r="AR156" s="330"/>
      <c r="AS156" s="347"/>
      <c r="AT156" s="92"/>
      <c r="AU156" s="94"/>
      <c r="AV156" s="95"/>
      <c r="AW156" s="95"/>
      <c r="AX156" s="95"/>
      <c r="AY156" s="94"/>
      <c r="AZ156" s="346"/>
      <c r="BA156" s="93"/>
      <c r="BB156" s="94"/>
      <c r="BC156" s="94"/>
      <c r="BD156" s="330"/>
      <c r="BE156" s="347"/>
      <c r="BF156" s="92"/>
      <c r="BG156" s="94"/>
      <c r="BH156" s="95"/>
      <c r="BI156" s="95"/>
      <c r="BJ156" s="95"/>
      <c r="BK156" s="94"/>
      <c r="BL156" s="346"/>
      <c r="BM156" s="93"/>
      <c r="BN156" s="94"/>
      <c r="BO156" s="94"/>
      <c r="BP156" s="330"/>
      <c r="BQ156" s="347"/>
      <c r="BR156" s="92"/>
      <c r="BS156" s="94"/>
      <c r="BT156" s="95"/>
      <c r="BU156" s="95"/>
      <c r="BV156" s="95"/>
      <c r="BW156" s="94"/>
      <c r="BX156" s="346"/>
      <c r="BY156" s="93"/>
      <c r="BZ156" s="94"/>
      <c r="CA156" s="94"/>
      <c r="CB156" s="330"/>
      <c r="CC156" s="347"/>
      <c r="CD156" s="92"/>
      <c r="CE156" s="94"/>
      <c r="CF156" s="95"/>
      <c r="CG156" s="95"/>
      <c r="CH156" s="95"/>
      <c r="CI156" s="94"/>
    </row>
    <row r="157" spans="1:87" x14ac:dyDescent="0.2">
      <c r="A157" s="8">
        <v>148</v>
      </c>
      <c r="B157" s="1125">
        <f>'Membership Record'!B158</f>
        <v>0</v>
      </c>
      <c r="C157" s="1125"/>
      <c r="D157" s="87">
        <f>'Membership Record'!G158+'Membership Record'!P158</f>
        <v>0</v>
      </c>
      <c r="E157" s="350">
        <f t="shared" si="19"/>
        <v>0</v>
      </c>
      <c r="F157" s="614">
        <f>'Membership Record'!H158+'Membership Record'!Q158</f>
        <v>0</v>
      </c>
      <c r="G157" s="615">
        <f t="shared" si="20"/>
        <v>0</v>
      </c>
      <c r="H157" s="614">
        <f>'Membership Record'!I158+'Membership Record'!R158</f>
        <v>0</v>
      </c>
      <c r="I157" s="616">
        <f t="shared" si="21"/>
        <v>0</v>
      </c>
      <c r="J157" s="614">
        <f>'Membership Record'!J158+'Membership Record'!S158</f>
        <v>0</v>
      </c>
      <c r="K157" s="618">
        <f t="shared" si="22"/>
        <v>0</v>
      </c>
      <c r="L157" s="618">
        <f>'Membership Record'!K158+'Membership Record'!T158</f>
        <v>0</v>
      </c>
      <c r="M157" s="615">
        <f t="shared" si="23"/>
        <v>0</v>
      </c>
      <c r="N157" s="614">
        <f>'Membership Record'!L158+'Membership Record'!U158</f>
        <v>0</v>
      </c>
      <c r="O157" s="619">
        <f t="shared" si="24"/>
        <v>0</v>
      </c>
      <c r="P157" s="346"/>
      <c r="Q157" s="93"/>
      <c r="R157" s="94"/>
      <c r="S157" s="94"/>
      <c r="T157" s="330"/>
      <c r="U157" s="347"/>
      <c r="V157" s="92"/>
      <c r="W157" s="94"/>
      <c r="X157" s="95"/>
      <c r="Y157" s="95"/>
      <c r="Z157" s="95"/>
      <c r="AA157" s="94"/>
      <c r="AB157" s="346"/>
      <c r="AC157" s="93"/>
      <c r="AD157" s="94"/>
      <c r="AE157" s="94"/>
      <c r="AF157" s="330"/>
      <c r="AG157" s="347"/>
      <c r="AH157" s="92"/>
      <c r="AI157" s="94"/>
      <c r="AJ157" s="95"/>
      <c r="AK157" s="95"/>
      <c r="AL157" s="95"/>
      <c r="AM157" s="94"/>
      <c r="AN157" s="346"/>
      <c r="AO157" s="93"/>
      <c r="AP157" s="94"/>
      <c r="AQ157" s="94"/>
      <c r="AR157" s="330"/>
      <c r="AS157" s="347"/>
      <c r="AT157" s="92"/>
      <c r="AU157" s="94"/>
      <c r="AV157" s="95"/>
      <c r="AW157" s="95"/>
      <c r="AX157" s="95"/>
      <c r="AY157" s="94"/>
      <c r="AZ157" s="346"/>
      <c r="BA157" s="93"/>
      <c r="BB157" s="94"/>
      <c r="BC157" s="94"/>
      <c r="BD157" s="330"/>
      <c r="BE157" s="347"/>
      <c r="BF157" s="92"/>
      <c r="BG157" s="94"/>
      <c r="BH157" s="95"/>
      <c r="BI157" s="95"/>
      <c r="BJ157" s="95"/>
      <c r="BK157" s="94"/>
      <c r="BL157" s="346"/>
      <c r="BM157" s="93"/>
      <c r="BN157" s="94"/>
      <c r="BO157" s="94"/>
      <c r="BP157" s="330"/>
      <c r="BQ157" s="347"/>
      <c r="BR157" s="92"/>
      <c r="BS157" s="94"/>
      <c r="BT157" s="95"/>
      <c r="BU157" s="95"/>
      <c r="BV157" s="95"/>
      <c r="BW157" s="94"/>
      <c r="BX157" s="346"/>
      <c r="BY157" s="93"/>
      <c r="BZ157" s="94"/>
      <c r="CA157" s="94"/>
      <c r="CB157" s="330"/>
      <c r="CC157" s="347"/>
      <c r="CD157" s="92"/>
      <c r="CE157" s="94"/>
      <c r="CF157" s="95"/>
      <c r="CG157" s="95"/>
      <c r="CH157" s="95"/>
      <c r="CI157" s="94"/>
    </row>
    <row r="158" spans="1:87" x14ac:dyDescent="0.2">
      <c r="A158" s="8">
        <v>149</v>
      </c>
      <c r="B158" s="1125">
        <f>'Membership Record'!B159</f>
        <v>0</v>
      </c>
      <c r="C158" s="1125"/>
      <c r="D158" s="87">
        <f>'Membership Record'!G159+'Membership Record'!P159</f>
        <v>0</v>
      </c>
      <c r="E158" s="350">
        <f t="shared" si="19"/>
        <v>0</v>
      </c>
      <c r="F158" s="614">
        <f>'Membership Record'!H159+'Membership Record'!Q159</f>
        <v>0</v>
      </c>
      <c r="G158" s="615">
        <f t="shared" si="20"/>
        <v>0</v>
      </c>
      <c r="H158" s="614">
        <f>'Membership Record'!I159+'Membership Record'!R159</f>
        <v>0</v>
      </c>
      <c r="I158" s="616">
        <f t="shared" si="21"/>
        <v>0</v>
      </c>
      <c r="J158" s="614">
        <f>'Membership Record'!J159+'Membership Record'!S159</f>
        <v>0</v>
      </c>
      <c r="K158" s="618">
        <f t="shared" si="22"/>
        <v>0</v>
      </c>
      <c r="L158" s="618">
        <f>'Membership Record'!K159+'Membership Record'!T159</f>
        <v>0</v>
      </c>
      <c r="M158" s="615">
        <f t="shared" si="23"/>
        <v>0</v>
      </c>
      <c r="N158" s="614">
        <f>'Membership Record'!L159+'Membership Record'!U159</f>
        <v>0</v>
      </c>
      <c r="O158" s="619">
        <f t="shared" si="24"/>
        <v>0</v>
      </c>
      <c r="P158" s="346"/>
      <c r="Q158" s="93"/>
      <c r="R158" s="94"/>
      <c r="S158" s="94"/>
      <c r="T158" s="330"/>
      <c r="U158" s="347"/>
      <c r="V158" s="92"/>
      <c r="W158" s="94"/>
      <c r="X158" s="95"/>
      <c r="Y158" s="95"/>
      <c r="Z158" s="95"/>
      <c r="AA158" s="94"/>
      <c r="AB158" s="346"/>
      <c r="AC158" s="93"/>
      <c r="AD158" s="94"/>
      <c r="AE158" s="94"/>
      <c r="AF158" s="330"/>
      <c r="AG158" s="347"/>
      <c r="AH158" s="92"/>
      <c r="AI158" s="94"/>
      <c r="AJ158" s="95"/>
      <c r="AK158" s="95"/>
      <c r="AL158" s="95"/>
      <c r="AM158" s="94"/>
      <c r="AN158" s="346"/>
      <c r="AO158" s="93"/>
      <c r="AP158" s="94"/>
      <c r="AQ158" s="94"/>
      <c r="AR158" s="330"/>
      <c r="AS158" s="347"/>
      <c r="AT158" s="92"/>
      <c r="AU158" s="94"/>
      <c r="AV158" s="95"/>
      <c r="AW158" s="95"/>
      <c r="AX158" s="95"/>
      <c r="AY158" s="94"/>
      <c r="AZ158" s="346"/>
      <c r="BA158" s="93"/>
      <c r="BB158" s="94"/>
      <c r="BC158" s="94"/>
      <c r="BD158" s="330"/>
      <c r="BE158" s="347"/>
      <c r="BF158" s="92"/>
      <c r="BG158" s="94"/>
      <c r="BH158" s="95"/>
      <c r="BI158" s="95"/>
      <c r="BJ158" s="95"/>
      <c r="BK158" s="94"/>
      <c r="BL158" s="346"/>
      <c r="BM158" s="93"/>
      <c r="BN158" s="94"/>
      <c r="BO158" s="94"/>
      <c r="BP158" s="330"/>
      <c r="BQ158" s="347"/>
      <c r="BR158" s="92"/>
      <c r="BS158" s="94"/>
      <c r="BT158" s="95"/>
      <c r="BU158" s="95"/>
      <c r="BV158" s="95"/>
      <c r="BW158" s="94"/>
      <c r="BX158" s="346"/>
      <c r="BY158" s="93"/>
      <c r="BZ158" s="94"/>
      <c r="CA158" s="94"/>
      <c r="CB158" s="330"/>
      <c r="CC158" s="347"/>
      <c r="CD158" s="92"/>
      <c r="CE158" s="94"/>
      <c r="CF158" s="95"/>
      <c r="CG158" s="95"/>
      <c r="CH158" s="95"/>
      <c r="CI158" s="94"/>
    </row>
    <row r="159" spans="1:87" x14ac:dyDescent="0.2">
      <c r="A159" s="8">
        <v>150</v>
      </c>
      <c r="B159" s="1125">
        <f>'Membership Record'!B160</f>
        <v>0</v>
      </c>
      <c r="C159" s="1125"/>
      <c r="D159" s="87">
        <f>'Membership Record'!G160+'Membership Record'!P160</f>
        <v>0</v>
      </c>
      <c r="E159" s="350">
        <f t="shared" si="19"/>
        <v>0</v>
      </c>
      <c r="F159" s="614">
        <f>'Membership Record'!H160+'Membership Record'!Q160</f>
        <v>0</v>
      </c>
      <c r="G159" s="615">
        <f t="shared" si="20"/>
        <v>0</v>
      </c>
      <c r="H159" s="614">
        <f>'Membership Record'!I160+'Membership Record'!R160</f>
        <v>0</v>
      </c>
      <c r="I159" s="616">
        <f t="shared" si="21"/>
        <v>0</v>
      </c>
      <c r="J159" s="614">
        <f>'Membership Record'!J160+'Membership Record'!S160</f>
        <v>0</v>
      </c>
      <c r="K159" s="618">
        <f t="shared" si="22"/>
        <v>0</v>
      </c>
      <c r="L159" s="618">
        <f>'Membership Record'!K160+'Membership Record'!T160</f>
        <v>0</v>
      </c>
      <c r="M159" s="615">
        <f t="shared" si="23"/>
        <v>0</v>
      </c>
      <c r="N159" s="614">
        <f>'Membership Record'!L160+'Membership Record'!U160</f>
        <v>0</v>
      </c>
      <c r="O159" s="619">
        <f t="shared" si="24"/>
        <v>0</v>
      </c>
      <c r="P159" s="346"/>
      <c r="Q159" s="93"/>
      <c r="R159" s="94"/>
      <c r="S159" s="94"/>
      <c r="T159" s="330"/>
      <c r="U159" s="347"/>
      <c r="V159" s="92"/>
      <c r="W159" s="94"/>
      <c r="X159" s="95"/>
      <c r="Y159" s="95"/>
      <c r="Z159" s="95"/>
      <c r="AA159" s="94"/>
      <c r="AB159" s="346"/>
      <c r="AC159" s="93"/>
      <c r="AD159" s="94"/>
      <c r="AE159" s="94"/>
      <c r="AF159" s="330"/>
      <c r="AG159" s="347"/>
      <c r="AH159" s="92"/>
      <c r="AI159" s="94"/>
      <c r="AJ159" s="95"/>
      <c r="AK159" s="95"/>
      <c r="AL159" s="95"/>
      <c r="AM159" s="94"/>
      <c r="AN159" s="346"/>
      <c r="AO159" s="93"/>
      <c r="AP159" s="94"/>
      <c r="AQ159" s="94"/>
      <c r="AR159" s="330"/>
      <c r="AS159" s="347"/>
      <c r="AT159" s="92"/>
      <c r="AU159" s="94"/>
      <c r="AV159" s="95"/>
      <c r="AW159" s="95"/>
      <c r="AX159" s="95"/>
      <c r="AY159" s="94"/>
      <c r="AZ159" s="346"/>
      <c r="BA159" s="93"/>
      <c r="BB159" s="94"/>
      <c r="BC159" s="94"/>
      <c r="BD159" s="330"/>
      <c r="BE159" s="347"/>
      <c r="BF159" s="92"/>
      <c r="BG159" s="94"/>
      <c r="BH159" s="95"/>
      <c r="BI159" s="95"/>
      <c r="BJ159" s="95"/>
      <c r="BK159" s="94"/>
      <c r="BL159" s="346"/>
      <c r="BM159" s="93"/>
      <c r="BN159" s="94"/>
      <c r="BO159" s="94"/>
      <c r="BP159" s="330"/>
      <c r="BQ159" s="347"/>
      <c r="BR159" s="92"/>
      <c r="BS159" s="94"/>
      <c r="BT159" s="95"/>
      <c r="BU159" s="95"/>
      <c r="BV159" s="95"/>
      <c r="BW159" s="94"/>
      <c r="BX159" s="346"/>
      <c r="BY159" s="93"/>
      <c r="BZ159" s="94"/>
      <c r="CA159" s="94"/>
      <c r="CB159" s="330"/>
      <c r="CC159" s="347"/>
      <c r="CD159" s="92"/>
      <c r="CE159" s="94"/>
      <c r="CF159" s="95"/>
      <c r="CG159" s="95"/>
      <c r="CH159" s="95"/>
      <c r="CI159" s="94"/>
    </row>
    <row r="160" spans="1:87" x14ac:dyDescent="0.2">
      <c r="A160" s="8">
        <v>151</v>
      </c>
      <c r="B160" s="1125">
        <f>'Membership Record'!B161</f>
        <v>0</v>
      </c>
      <c r="C160" s="1125"/>
      <c r="D160" s="87">
        <f>'Membership Record'!G161+'Membership Record'!P161</f>
        <v>0</v>
      </c>
      <c r="E160" s="350">
        <f t="shared" si="19"/>
        <v>0</v>
      </c>
      <c r="F160" s="614">
        <f>'Membership Record'!H161+'Membership Record'!Q161</f>
        <v>0</v>
      </c>
      <c r="G160" s="615">
        <f t="shared" si="20"/>
        <v>0</v>
      </c>
      <c r="H160" s="614">
        <f>'Membership Record'!I161+'Membership Record'!R161</f>
        <v>0</v>
      </c>
      <c r="I160" s="616">
        <f t="shared" si="21"/>
        <v>0</v>
      </c>
      <c r="J160" s="614">
        <f>'Membership Record'!J161+'Membership Record'!S161</f>
        <v>0</v>
      </c>
      <c r="K160" s="618">
        <f t="shared" si="22"/>
        <v>0</v>
      </c>
      <c r="L160" s="618">
        <f>'Membership Record'!K161+'Membership Record'!T161</f>
        <v>0</v>
      </c>
      <c r="M160" s="615">
        <f t="shared" si="23"/>
        <v>0</v>
      </c>
      <c r="N160" s="614">
        <f>'Membership Record'!L161+'Membership Record'!U161</f>
        <v>0</v>
      </c>
      <c r="O160" s="619">
        <f t="shared" si="24"/>
        <v>0</v>
      </c>
      <c r="P160" s="346"/>
      <c r="Q160" s="93"/>
      <c r="R160" s="94"/>
      <c r="S160" s="94"/>
      <c r="T160" s="330"/>
      <c r="U160" s="347"/>
      <c r="V160" s="92"/>
      <c r="W160" s="94"/>
      <c r="X160" s="95"/>
      <c r="Y160" s="95"/>
      <c r="Z160" s="95"/>
      <c r="AA160" s="94"/>
      <c r="AB160" s="346"/>
      <c r="AC160" s="93"/>
      <c r="AD160" s="94"/>
      <c r="AE160" s="94"/>
      <c r="AF160" s="330"/>
      <c r="AG160" s="347"/>
      <c r="AH160" s="92"/>
      <c r="AI160" s="94"/>
      <c r="AJ160" s="95"/>
      <c r="AK160" s="95"/>
      <c r="AL160" s="95"/>
      <c r="AM160" s="94"/>
      <c r="AN160" s="346"/>
      <c r="AO160" s="93"/>
      <c r="AP160" s="94"/>
      <c r="AQ160" s="94"/>
      <c r="AR160" s="330"/>
      <c r="AS160" s="347"/>
      <c r="AT160" s="92"/>
      <c r="AU160" s="94"/>
      <c r="AV160" s="95"/>
      <c r="AW160" s="95"/>
      <c r="AX160" s="95"/>
      <c r="AY160" s="94"/>
      <c r="AZ160" s="346"/>
      <c r="BA160" s="93"/>
      <c r="BB160" s="94"/>
      <c r="BC160" s="94"/>
      <c r="BD160" s="330"/>
      <c r="BE160" s="347"/>
      <c r="BF160" s="92"/>
      <c r="BG160" s="94"/>
      <c r="BH160" s="95"/>
      <c r="BI160" s="95"/>
      <c r="BJ160" s="95"/>
      <c r="BK160" s="94"/>
      <c r="BL160" s="346"/>
      <c r="BM160" s="93"/>
      <c r="BN160" s="94"/>
      <c r="BO160" s="94"/>
      <c r="BP160" s="330"/>
      <c r="BQ160" s="347"/>
      <c r="BR160" s="92"/>
      <c r="BS160" s="94"/>
      <c r="BT160" s="95"/>
      <c r="BU160" s="95"/>
      <c r="BV160" s="95"/>
      <c r="BW160" s="94"/>
      <c r="BX160" s="346"/>
      <c r="BY160" s="93"/>
      <c r="BZ160" s="94"/>
      <c r="CA160" s="94"/>
      <c r="CB160" s="330"/>
      <c r="CC160" s="347"/>
      <c r="CD160" s="92"/>
      <c r="CE160" s="94"/>
      <c r="CF160" s="95"/>
      <c r="CG160" s="95"/>
      <c r="CH160" s="95"/>
      <c r="CI160" s="94"/>
    </row>
    <row r="161" spans="1:87" x14ac:dyDescent="0.2">
      <c r="A161" s="8">
        <v>152</v>
      </c>
      <c r="B161" s="1125">
        <f>'Membership Record'!B162</f>
        <v>0</v>
      </c>
      <c r="C161" s="1125"/>
      <c r="D161" s="87">
        <f>'Membership Record'!G162+'Membership Record'!P162</f>
        <v>0</v>
      </c>
      <c r="E161" s="350">
        <f t="shared" si="19"/>
        <v>0</v>
      </c>
      <c r="F161" s="614">
        <f>'Membership Record'!H162+'Membership Record'!Q162</f>
        <v>0</v>
      </c>
      <c r="G161" s="615">
        <f t="shared" si="20"/>
        <v>0</v>
      </c>
      <c r="H161" s="614">
        <f>'Membership Record'!I162+'Membership Record'!R162</f>
        <v>0</v>
      </c>
      <c r="I161" s="616">
        <f t="shared" si="21"/>
        <v>0</v>
      </c>
      <c r="J161" s="614">
        <f>'Membership Record'!J162+'Membership Record'!S162</f>
        <v>0</v>
      </c>
      <c r="K161" s="618">
        <f t="shared" si="22"/>
        <v>0</v>
      </c>
      <c r="L161" s="618">
        <f>'Membership Record'!K162+'Membership Record'!T162</f>
        <v>0</v>
      </c>
      <c r="M161" s="615">
        <f t="shared" si="23"/>
        <v>0</v>
      </c>
      <c r="N161" s="614">
        <f>'Membership Record'!L162+'Membership Record'!U162</f>
        <v>0</v>
      </c>
      <c r="O161" s="619">
        <f t="shared" si="24"/>
        <v>0</v>
      </c>
      <c r="P161" s="346"/>
      <c r="Q161" s="93"/>
      <c r="R161" s="94"/>
      <c r="S161" s="94"/>
      <c r="T161" s="330"/>
      <c r="U161" s="347"/>
      <c r="V161" s="92"/>
      <c r="W161" s="94"/>
      <c r="X161" s="95"/>
      <c r="Y161" s="95"/>
      <c r="Z161" s="95"/>
      <c r="AA161" s="94"/>
      <c r="AB161" s="346"/>
      <c r="AC161" s="93"/>
      <c r="AD161" s="94"/>
      <c r="AE161" s="94"/>
      <c r="AF161" s="330"/>
      <c r="AG161" s="347"/>
      <c r="AH161" s="92"/>
      <c r="AI161" s="94"/>
      <c r="AJ161" s="95"/>
      <c r="AK161" s="95"/>
      <c r="AL161" s="95"/>
      <c r="AM161" s="94"/>
      <c r="AN161" s="346"/>
      <c r="AO161" s="93"/>
      <c r="AP161" s="94"/>
      <c r="AQ161" s="94"/>
      <c r="AR161" s="330"/>
      <c r="AS161" s="347"/>
      <c r="AT161" s="92"/>
      <c r="AU161" s="94"/>
      <c r="AV161" s="95"/>
      <c r="AW161" s="95"/>
      <c r="AX161" s="95"/>
      <c r="AY161" s="94"/>
      <c r="AZ161" s="346"/>
      <c r="BA161" s="93"/>
      <c r="BB161" s="94"/>
      <c r="BC161" s="94"/>
      <c r="BD161" s="330"/>
      <c r="BE161" s="347"/>
      <c r="BF161" s="92"/>
      <c r="BG161" s="94"/>
      <c r="BH161" s="95"/>
      <c r="BI161" s="95"/>
      <c r="BJ161" s="95"/>
      <c r="BK161" s="94"/>
      <c r="BL161" s="346"/>
      <c r="BM161" s="93"/>
      <c r="BN161" s="94"/>
      <c r="BO161" s="94"/>
      <c r="BP161" s="330"/>
      <c r="BQ161" s="347"/>
      <c r="BR161" s="92"/>
      <c r="BS161" s="94"/>
      <c r="BT161" s="95"/>
      <c r="BU161" s="95"/>
      <c r="BV161" s="95"/>
      <c r="BW161" s="94"/>
      <c r="BX161" s="346"/>
      <c r="BY161" s="93"/>
      <c r="BZ161" s="94"/>
      <c r="CA161" s="94"/>
      <c r="CB161" s="330"/>
      <c r="CC161" s="347"/>
      <c r="CD161" s="92"/>
      <c r="CE161" s="94"/>
      <c r="CF161" s="95"/>
      <c r="CG161" s="95"/>
      <c r="CH161" s="95"/>
      <c r="CI161" s="94"/>
    </row>
    <row r="162" spans="1:87" x14ac:dyDescent="0.2">
      <c r="A162" s="8">
        <v>153</v>
      </c>
      <c r="B162" s="1125">
        <f>'Membership Record'!B163</f>
        <v>0</v>
      </c>
      <c r="C162" s="1125"/>
      <c r="D162" s="87">
        <f>'Membership Record'!G163+'Membership Record'!P163</f>
        <v>0</v>
      </c>
      <c r="E162" s="350">
        <f t="shared" si="19"/>
        <v>0</v>
      </c>
      <c r="F162" s="614">
        <f>'Membership Record'!H163+'Membership Record'!Q163</f>
        <v>0</v>
      </c>
      <c r="G162" s="615">
        <f t="shared" si="20"/>
        <v>0</v>
      </c>
      <c r="H162" s="614">
        <f>'Membership Record'!I163+'Membership Record'!R163</f>
        <v>0</v>
      </c>
      <c r="I162" s="616">
        <f t="shared" si="21"/>
        <v>0</v>
      </c>
      <c r="J162" s="614">
        <f>'Membership Record'!J163+'Membership Record'!S163</f>
        <v>0</v>
      </c>
      <c r="K162" s="618">
        <f t="shared" si="22"/>
        <v>0</v>
      </c>
      <c r="L162" s="618">
        <f>'Membership Record'!K163+'Membership Record'!T163</f>
        <v>0</v>
      </c>
      <c r="M162" s="615">
        <f t="shared" si="23"/>
        <v>0</v>
      </c>
      <c r="N162" s="614">
        <f>'Membership Record'!L163+'Membership Record'!U163</f>
        <v>0</v>
      </c>
      <c r="O162" s="619">
        <f t="shared" si="24"/>
        <v>0</v>
      </c>
      <c r="P162" s="346"/>
      <c r="Q162" s="93"/>
      <c r="R162" s="94"/>
      <c r="S162" s="94"/>
      <c r="T162" s="330"/>
      <c r="U162" s="347"/>
      <c r="V162" s="92"/>
      <c r="W162" s="94"/>
      <c r="X162" s="95"/>
      <c r="Y162" s="95"/>
      <c r="Z162" s="95"/>
      <c r="AA162" s="94"/>
      <c r="AB162" s="346"/>
      <c r="AC162" s="93"/>
      <c r="AD162" s="94"/>
      <c r="AE162" s="94"/>
      <c r="AF162" s="330"/>
      <c r="AG162" s="347"/>
      <c r="AH162" s="92"/>
      <c r="AI162" s="94"/>
      <c r="AJ162" s="95"/>
      <c r="AK162" s="95"/>
      <c r="AL162" s="95"/>
      <c r="AM162" s="94"/>
      <c r="AN162" s="346"/>
      <c r="AO162" s="93"/>
      <c r="AP162" s="94"/>
      <c r="AQ162" s="94"/>
      <c r="AR162" s="330"/>
      <c r="AS162" s="347"/>
      <c r="AT162" s="92"/>
      <c r="AU162" s="94"/>
      <c r="AV162" s="95"/>
      <c r="AW162" s="95"/>
      <c r="AX162" s="95"/>
      <c r="AY162" s="94"/>
      <c r="AZ162" s="346"/>
      <c r="BA162" s="93"/>
      <c r="BB162" s="94"/>
      <c r="BC162" s="94"/>
      <c r="BD162" s="330"/>
      <c r="BE162" s="347"/>
      <c r="BF162" s="92"/>
      <c r="BG162" s="94"/>
      <c r="BH162" s="95"/>
      <c r="BI162" s="95"/>
      <c r="BJ162" s="95"/>
      <c r="BK162" s="94"/>
      <c r="BL162" s="346"/>
      <c r="BM162" s="93"/>
      <c r="BN162" s="94"/>
      <c r="BO162" s="94"/>
      <c r="BP162" s="330"/>
      <c r="BQ162" s="347"/>
      <c r="BR162" s="92"/>
      <c r="BS162" s="94"/>
      <c r="BT162" s="95"/>
      <c r="BU162" s="95"/>
      <c r="BV162" s="95"/>
      <c r="BW162" s="94"/>
      <c r="BX162" s="346"/>
      <c r="BY162" s="93"/>
      <c r="BZ162" s="94"/>
      <c r="CA162" s="94"/>
      <c r="CB162" s="330"/>
      <c r="CC162" s="347"/>
      <c r="CD162" s="92"/>
      <c r="CE162" s="94"/>
      <c r="CF162" s="95"/>
      <c r="CG162" s="95"/>
      <c r="CH162" s="95"/>
      <c r="CI162" s="94"/>
    </row>
    <row r="163" spans="1:87" x14ac:dyDescent="0.2">
      <c r="A163" s="8">
        <v>154</v>
      </c>
      <c r="B163" s="1125">
        <f>'Membership Record'!B164</f>
        <v>0</v>
      </c>
      <c r="C163" s="1125"/>
      <c r="D163" s="87">
        <f>'Membership Record'!G164+'Membership Record'!P164</f>
        <v>0</v>
      </c>
      <c r="E163" s="350">
        <f t="shared" si="19"/>
        <v>0</v>
      </c>
      <c r="F163" s="614">
        <f>'Membership Record'!H164+'Membership Record'!Q164</f>
        <v>0</v>
      </c>
      <c r="G163" s="615">
        <f t="shared" si="20"/>
        <v>0</v>
      </c>
      <c r="H163" s="614">
        <f>'Membership Record'!I164+'Membership Record'!R164</f>
        <v>0</v>
      </c>
      <c r="I163" s="616">
        <f t="shared" si="21"/>
        <v>0</v>
      </c>
      <c r="J163" s="614">
        <f>'Membership Record'!J164+'Membership Record'!S164</f>
        <v>0</v>
      </c>
      <c r="K163" s="618">
        <f t="shared" si="22"/>
        <v>0</v>
      </c>
      <c r="L163" s="618">
        <f>'Membership Record'!K164+'Membership Record'!T164</f>
        <v>0</v>
      </c>
      <c r="M163" s="615">
        <f t="shared" si="23"/>
        <v>0</v>
      </c>
      <c r="N163" s="614">
        <f>'Membership Record'!L164+'Membership Record'!U164</f>
        <v>0</v>
      </c>
      <c r="O163" s="619">
        <f t="shared" si="24"/>
        <v>0</v>
      </c>
      <c r="P163" s="346"/>
      <c r="Q163" s="93"/>
      <c r="R163" s="94"/>
      <c r="S163" s="94"/>
      <c r="T163" s="330"/>
      <c r="U163" s="347"/>
      <c r="V163" s="92"/>
      <c r="W163" s="94"/>
      <c r="X163" s="95"/>
      <c r="Y163" s="95"/>
      <c r="Z163" s="95"/>
      <c r="AA163" s="94"/>
      <c r="AB163" s="346"/>
      <c r="AC163" s="93"/>
      <c r="AD163" s="94"/>
      <c r="AE163" s="94"/>
      <c r="AF163" s="330"/>
      <c r="AG163" s="347"/>
      <c r="AH163" s="92"/>
      <c r="AI163" s="94"/>
      <c r="AJ163" s="95"/>
      <c r="AK163" s="95"/>
      <c r="AL163" s="95"/>
      <c r="AM163" s="94"/>
      <c r="AN163" s="346"/>
      <c r="AO163" s="93"/>
      <c r="AP163" s="94"/>
      <c r="AQ163" s="94"/>
      <c r="AR163" s="330"/>
      <c r="AS163" s="347"/>
      <c r="AT163" s="92"/>
      <c r="AU163" s="94"/>
      <c r="AV163" s="95"/>
      <c r="AW163" s="95"/>
      <c r="AX163" s="95"/>
      <c r="AY163" s="94"/>
      <c r="AZ163" s="346"/>
      <c r="BA163" s="93"/>
      <c r="BB163" s="94"/>
      <c r="BC163" s="94"/>
      <c r="BD163" s="330"/>
      <c r="BE163" s="347"/>
      <c r="BF163" s="92"/>
      <c r="BG163" s="94"/>
      <c r="BH163" s="95"/>
      <c r="BI163" s="95"/>
      <c r="BJ163" s="95"/>
      <c r="BK163" s="94"/>
      <c r="BL163" s="346"/>
      <c r="BM163" s="93"/>
      <c r="BN163" s="94"/>
      <c r="BO163" s="94"/>
      <c r="BP163" s="330"/>
      <c r="BQ163" s="347"/>
      <c r="BR163" s="92"/>
      <c r="BS163" s="94"/>
      <c r="BT163" s="95"/>
      <c r="BU163" s="95"/>
      <c r="BV163" s="95"/>
      <c r="BW163" s="94"/>
      <c r="BX163" s="346"/>
      <c r="BY163" s="93"/>
      <c r="BZ163" s="94"/>
      <c r="CA163" s="94"/>
      <c r="CB163" s="330"/>
      <c r="CC163" s="347"/>
      <c r="CD163" s="92"/>
      <c r="CE163" s="94"/>
      <c r="CF163" s="95"/>
      <c r="CG163" s="95"/>
      <c r="CH163" s="95"/>
      <c r="CI163" s="94"/>
    </row>
    <row r="164" spans="1:87" x14ac:dyDescent="0.2">
      <c r="A164" s="8">
        <v>155</v>
      </c>
      <c r="B164" s="1125">
        <f>'Membership Record'!B165</f>
        <v>0</v>
      </c>
      <c r="C164" s="1125"/>
      <c r="D164" s="87">
        <f>'Membership Record'!G165+'Membership Record'!P165</f>
        <v>0</v>
      </c>
      <c r="E164" s="350">
        <f t="shared" si="19"/>
        <v>0</v>
      </c>
      <c r="F164" s="614">
        <f>'Membership Record'!H165+'Membership Record'!Q165</f>
        <v>0</v>
      </c>
      <c r="G164" s="615">
        <f t="shared" si="20"/>
        <v>0</v>
      </c>
      <c r="H164" s="614">
        <f>'Membership Record'!I165+'Membership Record'!R165</f>
        <v>0</v>
      </c>
      <c r="I164" s="616">
        <f t="shared" si="21"/>
        <v>0</v>
      </c>
      <c r="J164" s="614">
        <f>'Membership Record'!J165+'Membership Record'!S165</f>
        <v>0</v>
      </c>
      <c r="K164" s="618">
        <f t="shared" si="22"/>
        <v>0</v>
      </c>
      <c r="L164" s="618">
        <f>'Membership Record'!K165+'Membership Record'!T165</f>
        <v>0</v>
      </c>
      <c r="M164" s="615">
        <f t="shared" si="23"/>
        <v>0</v>
      </c>
      <c r="N164" s="614">
        <f>'Membership Record'!L165+'Membership Record'!U165</f>
        <v>0</v>
      </c>
      <c r="O164" s="619">
        <f t="shared" si="24"/>
        <v>0</v>
      </c>
      <c r="P164" s="346"/>
      <c r="Q164" s="93"/>
      <c r="R164" s="94"/>
      <c r="S164" s="94"/>
      <c r="T164" s="330"/>
      <c r="U164" s="347"/>
      <c r="V164" s="92"/>
      <c r="W164" s="94"/>
      <c r="X164" s="95"/>
      <c r="Y164" s="95"/>
      <c r="Z164" s="95"/>
      <c r="AA164" s="94"/>
      <c r="AB164" s="346"/>
      <c r="AC164" s="93"/>
      <c r="AD164" s="94"/>
      <c r="AE164" s="94"/>
      <c r="AF164" s="330"/>
      <c r="AG164" s="347"/>
      <c r="AH164" s="92"/>
      <c r="AI164" s="94"/>
      <c r="AJ164" s="95"/>
      <c r="AK164" s="95"/>
      <c r="AL164" s="95"/>
      <c r="AM164" s="94"/>
      <c r="AN164" s="346"/>
      <c r="AO164" s="93"/>
      <c r="AP164" s="94"/>
      <c r="AQ164" s="94"/>
      <c r="AR164" s="330"/>
      <c r="AS164" s="347"/>
      <c r="AT164" s="92"/>
      <c r="AU164" s="94"/>
      <c r="AV164" s="95"/>
      <c r="AW164" s="95"/>
      <c r="AX164" s="95"/>
      <c r="AY164" s="94"/>
      <c r="AZ164" s="346"/>
      <c r="BA164" s="93"/>
      <c r="BB164" s="94"/>
      <c r="BC164" s="94"/>
      <c r="BD164" s="330"/>
      <c r="BE164" s="347"/>
      <c r="BF164" s="92"/>
      <c r="BG164" s="94"/>
      <c r="BH164" s="95"/>
      <c r="BI164" s="95"/>
      <c r="BJ164" s="95"/>
      <c r="BK164" s="94"/>
      <c r="BL164" s="346"/>
      <c r="BM164" s="93"/>
      <c r="BN164" s="94"/>
      <c r="BO164" s="94"/>
      <c r="BP164" s="330"/>
      <c r="BQ164" s="347"/>
      <c r="BR164" s="92"/>
      <c r="BS164" s="94"/>
      <c r="BT164" s="95"/>
      <c r="BU164" s="95"/>
      <c r="BV164" s="95"/>
      <c r="BW164" s="94"/>
      <c r="BX164" s="346"/>
      <c r="BY164" s="93"/>
      <c r="BZ164" s="94"/>
      <c r="CA164" s="94"/>
      <c r="CB164" s="330"/>
      <c r="CC164" s="347"/>
      <c r="CD164" s="92"/>
      <c r="CE164" s="94"/>
      <c r="CF164" s="95"/>
      <c r="CG164" s="95"/>
      <c r="CH164" s="95"/>
      <c r="CI164" s="94"/>
    </row>
    <row r="165" spans="1:87" x14ac:dyDescent="0.2">
      <c r="A165" s="8">
        <v>156</v>
      </c>
      <c r="B165" s="1125">
        <f>'Membership Record'!B166</f>
        <v>0</v>
      </c>
      <c r="C165" s="1125"/>
      <c r="D165" s="87">
        <f>'Membership Record'!G166+'Membership Record'!P166</f>
        <v>0</v>
      </c>
      <c r="E165" s="350">
        <f t="shared" si="19"/>
        <v>0</v>
      </c>
      <c r="F165" s="614">
        <f>'Membership Record'!H166+'Membership Record'!Q166</f>
        <v>0</v>
      </c>
      <c r="G165" s="615">
        <f t="shared" si="20"/>
        <v>0</v>
      </c>
      <c r="H165" s="614">
        <f>'Membership Record'!I166+'Membership Record'!R166</f>
        <v>0</v>
      </c>
      <c r="I165" s="616">
        <f t="shared" si="21"/>
        <v>0</v>
      </c>
      <c r="J165" s="614">
        <f>'Membership Record'!J166+'Membership Record'!S166</f>
        <v>0</v>
      </c>
      <c r="K165" s="618">
        <f t="shared" si="22"/>
        <v>0</v>
      </c>
      <c r="L165" s="618">
        <f>'Membership Record'!K166+'Membership Record'!T166</f>
        <v>0</v>
      </c>
      <c r="M165" s="615">
        <f t="shared" si="23"/>
        <v>0</v>
      </c>
      <c r="N165" s="614">
        <f>'Membership Record'!L166+'Membership Record'!U166</f>
        <v>0</v>
      </c>
      <c r="O165" s="619">
        <f t="shared" si="24"/>
        <v>0</v>
      </c>
      <c r="P165" s="346"/>
      <c r="Q165" s="93"/>
      <c r="R165" s="94"/>
      <c r="S165" s="94"/>
      <c r="T165" s="330"/>
      <c r="U165" s="347"/>
      <c r="V165" s="92"/>
      <c r="W165" s="94"/>
      <c r="X165" s="95"/>
      <c r="Y165" s="95"/>
      <c r="Z165" s="95"/>
      <c r="AA165" s="94"/>
      <c r="AB165" s="346"/>
      <c r="AC165" s="93"/>
      <c r="AD165" s="94"/>
      <c r="AE165" s="94"/>
      <c r="AF165" s="330"/>
      <c r="AG165" s="347"/>
      <c r="AH165" s="92"/>
      <c r="AI165" s="94"/>
      <c r="AJ165" s="95"/>
      <c r="AK165" s="95"/>
      <c r="AL165" s="95"/>
      <c r="AM165" s="94"/>
      <c r="AN165" s="346"/>
      <c r="AO165" s="93"/>
      <c r="AP165" s="94"/>
      <c r="AQ165" s="94"/>
      <c r="AR165" s="330"/>
      <c r="AS165" s="347"/>
      <c r="AT165" s="92"/>
      <c r="AU165" s="94"/>
      <c r="AV165" s="95"/>
      <c r="AW165" s="95"/>
      <c r="AX165" s="95"/>
      <c r="AY165" s="94"/>
      <c r="AZ165" s="346"/>
      <c r="BA165" s="93"/>
      <c r="BB165" s="94"/>
      <c r="BC165" s="94"/>
      <c r="BD165" s="330"/>
      <c r="BE165" s="347"/>
      <c r="BF165" s="92"/>
      <c r="BG165" s="94"/>
      <c r="BH165" s="95"/>
      <c r="BI165" s="95"/>
      <c r="BJ165" s="95"/>
      <c r="BK165" s="94"/>
      <c r="BL165" s="346"/>
      <c r="BM165" s="93"/>
      <c r="BN165" s="94"/>
      <c r="BO165" s="94"/>
      <c r="BP165" s="330"/>
      <c r="BQ165" s="347"/>
      <c r="BR165" s="92"/>
      <c r="BS165" s="94"/>
      <c r="BT165" s="95"/>
      <c r="BU165" s="95"/>
      <c r="BV165" s="95"/>
      <c r="BW165" s="94"/>
      <c r="BX165" s="346"/>
      <c r="BY165" s="93"/>
      <c r="BZ165" s="94"/>
      <c r="CA165" s="94"/>
      <c r="CB165" s="330"/>
      <c r="CC165" s="347"/>
      <c r="CD165" s="92"/>
      <c r="CE165" s="94"/>
      <c r="CF165" s="95"/>
      <c r="CG165" s="95"/>
      <c r="CH165" s="95"/>
      <c r="CI165" s="94"/>
    </row>
    <row r="166" spans="1:87" x14ac:dyDescent="0.2">
      <c r="A166" s="8">
        <v>157</v>
      </c>
      <c r="B166" s="1125">
        <f>'Membership Record'!B167</f>
        <v>0</v>
      </c>
      <c r="C166" s="1125"/>
      <c r="D166" s="87">
        <f>'Membership Record'!G167+'Membership Record'!P167</f>
        <v>0</v>
      </c>
      <c r="E166" s="350">
        <f t="shared" si="19"/>
        <v>0</v>
      </c>
      <c r="F166" s="614">
        <f>'Membership Record'!H167+'Membership Record'!Q167</f>
        <v>0</v>
      </c>
      <c r="G166" s="615">
        <f t="shared" si="20"/>
        <v>0</v>
      </c>
      <c r="H166" s="614">
        <f>'Membership Record'!I167+'Membership Record'!R167</f>
        <v>0</v>
      </c>
      <c r="I166" s="616">
        <f t="shared" si="21"/>
        <v>0</v>
      </c>
      <c r="J166" s="614">
        <f>'Membership Record'!J167+'Membership Record'!S167</f>
        <v>0</v>
      </c>
      <c r="K166" s="618">
        <f t="shared" si="22"/>
        <v>0</v>
      </c>
      <c r="L166" s="618">
        <f>'Membership Record'!K167+'Membership Record'!T167</f>
        <v>0</v>
      </c>
      <c r="M166" s="615">
        <f t="shared" si="23"/>
        <v>0</v>
      </c>
      <c r="N166" s="614">
        <f>'Membership Record'!L167+'Membership Record'!U167</f>
        <v>0</v>
      </c>
      <c r="O166" s="619">
        <f t="shared" si="24"/>
        <v>0</v>
      </c>
      <c r="P166" s="346"/>
      <c r="Q166" s="93"/>
      <c r="R166" s="94"/>
      <c r="S166" s="94"/>
      <c r="T166" s="330"/>
      <c r="U166" s="347"/>
      <c r="V166" s="92"/>
      <c r="W166" s="94"/>
      <c r="X166" s="95"/>
      <c r="Y166" s="95"/>
      <c r="Z166" s="95"/>
      <c r="AA166" s="94"/>
      <c r="AB166" s="346"/>
      <c r="AC166" s="93"/>
      <c r="AD166" s="94"/>
      <c r="AE166" s="94"/>
      <c r="AF166" s="330"/>
      <c r="AG166" s="347"/>
      <c r="AH166" s="92"/>
      <c r="AI166" s="94"/>
      <c r="AJ166" s="95"/>
      <c r="AK166" s="95"/>
      <c r="AL166" s="95"/>
      <c r="AM166" s="94"/>
      <c r="AN166" s="346"/>
      <c r="AO166" s="93"/>
      <c r="AP166" s="94"/>
      <c r="AQ166" s="94"/>
      <c r="AR166" s="330"/>
      <c r="AS166" s="347"/>
      <c r="AT166" s="92"/>
      <c r="AU166" s="94"/>
      <c r="AV166" s="95"/>
      <c r="AW166" s="95"/>
      <c r="AX166" s="95"/>
      <c r="AY166" s="94"/>
      <c r="AZ166" s="346"/>
      <c r="BA166" s="93"/>
      <c r="BB166" s="94"/>
      <c r="BC166" s="94"/>
      <c r="BD166" s="330"/>
      <c r="BE166" s="347"/>
      <c r="BF166" s="92"/>
      <c r="BG166" s="94"/>
      <c r="BH166" s="95"/>
      <c r="BI166" s="95"/>
      <c r="BJ166" s="95"/>
      <c r="BK166" s="94"/>
      <c r="BL166" s="346"/>
      <c r="BM166" s="93"/>
      <c r="BN166" s="94"/>
      <c r="BO166" s="94"/>
      <c r="BP166" s="330"/>
      <c r="BQ166" s="347"/>
      <c r="BR166" s="92"/>
      <c r="BS166" s="94"/>
      <c r="BT166" s="95"/>
      <c r="BU166" s="95"/>
      <c r="BV166" s="95"/>
      <c r="BW166" s="94"/>
      <c r="BX166" s="346"/>
      <c r="BY166" s="93"/>
      <c r="BZ166" s="94"/>
      <c r="CA166" s="94"/>
      <c r="CB166" s="330"/>
      <c r="CC166" s="347"/>
      <c r="CD166" s="92"/>
      <c r="CE166" s="94"/>
      <c r="CF166" s="95"/>
      <c r="CG166" s="95"/>
      <c r="CH166" s="95"/>
      <c r="CI166" s="94"/>
    </row>
    <row r="167" spans="1:87" x14ac:dyDescent="0.2">
      <c r="A167" s="8">
        <v>158</v>
      </c>
      <c r="B167" s="1125">
        <f>'Membership Record'!B168</f>
        <v>0</v>
      </c>
      <c r="C167" s="1125"/>
      <c r="D167" s="87">
        <f>'Membership Record'!G168+'Membership Record'!P168</f>
        <v>0</v>
      </c>
      <c r="E167" s="350">
        <f t="shared" si="19"/>
        <v>0</v>
      </c>
      <c r="F167" s="614">
        <f>'Membership Record'!H168+'Membership Record'!Q168</f>
        <v>0</v>
      </c>
      <c r="G167" s="615">
        <f t="shared" si="20"/>
        <v>0</v>
      </c>
      <c r="H167" s="614">
        <f>'Membership Record'!I168+'Membership Record'!R168</f>
        <v>0</v>
      </c>
      <c r="I167" s="616">
        <f t="shared" si="21"/>
        <v>0</v>
      </c>
      <c r="J167" s="614">
        <f>'Membership Record'!J168+'Membership Record'!S168</f>
        <v>0</v>
      </c>
      <c r="K167" s="618">
        <f t="shared" si="22"/>
        <v>0</v>
      </c>
      <c r="L167" s="618">
        <f>'Membership Record'!K168+'Membership Record'!T168</f>
        <v>0</v>
      </c>
      <c r="M167" s="615">
        <f t="shared" si="23"/>
        <v>0</v>
      </c>
      <c r="N167" s="614">
        <f>'Membership Record'!L168+'Membership Record'!U168</f>
        <v>0</v>
      </c>
      <c r="O167" s="619">
        <f t="shared" si="24"/>
        <v>0</v>
      </c>
      <c r="P167" s="346"/>
      <c r="Q167" s="93"/>
      <c r="R167" s="94"/>
      <c r="S167" s="94"/>
      <c r="T167" s="330"/>
      <c r="U167" s="347"/>
      <c r="V167" s="92"/>
      <c r="W167" s="94"/>
      <c r="X167" s="95"/>
      <c r="Y167" s="95"/>
      <c r="Z167" s="95"/>
      <c r="AA167" s="94"/>
      <c r="AB167" s="346"/>
      <c r="AC167" s="93"/>
      <c r="AD167" s="94"/>
      <c r="AE167" s="94"/>
      <c r="AF167" s="330"/>
      <c r="AG167" s="347"/>
      <c r="AH167" s="92"/>
      <c r="AI167" s="94"/>
      <c r="AJ167" s="95"/>
      <c r="AK167" s="95"/>
      <c r="AL167" s="95"/>
      <c r="AM167" s="94"/>
      <c r="AN167" s="346"/>
      <c r="AO167" s="93"/>
      <c r="AP167" s="94"/>
      <c r="AQ167" s="94"/>
      <c r="AR167" s="330"/>
      <c r="AS167" s="347"/>
      <c r="AT167" s="92"/>
      <c r="AU167" s="94"/>
      <c r="AV167" s="95"/>
      <c r="AW167" s="95"/>
      <c r="AX167" s="95"/>
      <c r="AY167" s="94"/>
      <c r="AZ167" s="346"/>
      <c r="BA167" s="93"/>
      <c r="BB167" s="94"/>
      <c r="BC167" s="94"/>
      <c r="BD167" s="330"/>
      <c r="BE167" s="347"/>
      <c r="BF167" s="92"/>
      <c r="BG167" s="94"/>
      <c r="BH167" s="95"/>
      <c r="BI167" s="95"/>
      <c r="BJ167" s="95"/>
      <c r="BK167" s="94"/>
      <c r="BL167" s="346"/>
      <c r="BM167" s="93"/>
      <c r="BN167" s="94"/>
      <c r="BO167" s="94"/>
      <c r="BP167" s="330"/>
      <c r="BQ167" s="347"/>
      <c r="BR167" s="92"/>
      <c r="BS167" s="94"/>
      <c r="BT167" s="95"/>
      <c r="BU167" s="95"/>
      <c r="BV167" s="95"/>
      <c r="BW167" s="94"/>
      <c r="BX167" s="346"/>
      <c r="BY167" s="93"/>
      <c r="BZ167" s="94"/>
      <c r="CA167" s="94"/>
      <c r="CB167" s="330"/>
      <c r="CC167" s="347"/>
      <c r="CD167" s="92"/>
      <c r="CE167" s="94"/>
      <c r="CF167" s="95"/>
      <c r="CG167" s="95"/>
      <c r="CH167" s="95"/>
      <c r="CI167" s="94"/>
    </row>
    <row r="168" spans="1:87" x14ac:dyDescent="0.2">
      <c r="A168" s="8">
        <v>159</v>
      </c>
      <c r="B168" s="1125">
        <f>'Membership Record'!B169</f>
        <v>0</v>
      </c>
      <c r="C168" s="1125"/>
      <c r="D168" s="87">
        <f>'Membership Record'!G169+'Membership Record'!P169</f>
        <v>0</v>
      </c>
      <c r="E168" s="350">
        <f t="shared" si="19"/>
        <v>0</v>
      </c>
      <c r="F168" s="614">
        <f>'Membership Record'!H169+'Membership Record'!Q169</f>
        <v>0</v>
      </c>
      <c r="G168" s="615">
        <f t="shared" si="20"/>
        <v>0</v>
      </c>
      <c r="H168" s="614">
        <f>'Membership Record'!I169+'Membership Record'!R169</f>
        <v>0</v>
      </c>
      <c r="I168" s="616">
        <f t="shared" si="21"/>
        <v>0</v>
      </c>
      <c r="J168" s="614">
        <f>'Membership Record'!J169+'Membership Record'!S169</f>
        <v>0</v>
      </c>
      <c r="K168" s="618">
        <f t="shared" si="22"/>
        <v>0</v>
      </c>
      <c r="L168" s="618">
        <f>'Membership Record'!K169+'Membership Record'!T169</f>
        <v>0</v>
      </c>
      <c r="M168" s="615">
        <f t="shared" si="23"/>
        <v>0</v>
      </c>
      <c r="N168" s="614">
        <f>'Membership Record'!L169+'Membership Record'!U169</f>
        <v>0</v>
      </c>
      <c r="O168" s="619">
        <f t="shared" si="24"/>
        <v>0</v>
      </c>
      <c r="P168" s="346"/>
      <c r="Q168" s="93"/>
      <c r="R168" s="94"/>
      <c r="S168" s="94"/>
      <c r="T168" s="330"/>
      <c r="U168" s="347"/>
      <c r="V168" s="92"/>
      <c r="W168" s="94"/>
      <c r="X168" s="95"/>
      <c r="Y168" s="95"/>
      <c r="Z168" s="95"/>
      <c r="AA168" s="94"/>
      <c r="AB168" s="346"/>
      <c r="AC168" s="93"/>
      <c r="AD168" s="94"/>
      <c r="AE168" s="94"/>
      <c r="AF168" s="330"/>
      <c r="AG168" s="347"/>
      <c r="AH168" s="92"/>
      <c r="AI168" s="94"/>
      <c r="AJ168" s="95"/>
      <c r="AK168" s="95"/>
      <c r="AL168" s="95"/>
      <c r="AM168" s="94"/>
      <c r="AN168" s="346"/>
      <c r="AO168" s="93"/>
      <c r="AP168" s="94"/>
      <c r="AQ168" s="94"/>
      <c r="AR168" s="330"/>
      <c r="AS168" s="347"/>
      <c r="AT168" s="92"/>
      <c r="AU168" s="94"/>
      <c r="AV168" s="95"/>
      <c r="AW168" s="95"/>
      <c r="AX168" s="95"/>
      <c r="AY168" s="94"/>
      <c r="AZ168" s="346"/>
      <c r="BA168" s="93"/>
      <c r="BB168" s="94"/>
      <c r="BC168" s="94"/>
      <c r="BD168" s="330"/>
      <c r="BE168" s="347"/>
      <c r="BF168" s="92"/>
      <c r="BG168" s="94"/>
      <c r="BH168" s="95"/>
      <c r="BI168" s="95"/>
      <c r="BJ168" s="95"/>
      <c r="BK168" s="94"/>
      <c r="BL168" s="346"/>
      <c r="BM168" s="93"/>
      <c r="BN168" s="94"/>
      <c r="BO168" s="94"/>
      <c r="BP168" s="330"/>
      <c r="BQ168" s="347"/>
      <c r="BR168" s="92"/>
      <c r="BS168" s="94"/>
      <c r="BT168" s="95"/>
      <c r="BU168" s="95"/>
      <c r="BV168" s="95"/>
      <c r="BW168" s="94"/>
      <c r="BX168" s="346"/>
      <c r="BY168" s="93"/>
      <c r="BZ168" s="94"/>
      <c r="CA168" s="94"/>
      <c r="CB168" s="330"/>
      <c r="CC168" s="347"/>
      <c r="CD168" s="92"/>
      <c r="CE168" s="94"/>
      <c r="CF168" s="95"/>
      <c r="CG168" s="95"/>
      <c r="CH168" s="95"/>
      <c r="CI168" s="94"/>
    </row>
    <row r="169" spans="1:87" x14ac:dyDescent="0.2">
      <c r="A169" s="8">
        <v>160</v>
      </c>
      <c r="B169" s="1125">
        <f>'Membership Record'!B170</f>
        <v>0</v>
      </c>
      <c r="C169" s="1125"/>
      <c r="D169" s="87">
        <f>'Membership Record'!G170+'Membership Record'!P170</f>
        <v>0</v>
      </c>
      <c r="E169" s="350">
        <f t="shared" si="19"/>
        <v>0</v>
      </c>
      <c r="F169" s="614">
        <f>'Membership Record'!H170+'Membership Record'!Q170</f>
        <v>0</v>
      </c>
      <c r="G169" s="615">
        <f t="shared" si="20"/>
        <v>0</v>
      </c>
      <c r="H169" s="614">
        <f>'Membership Record'!I170+'Membership Record'!R170</f>
        <v>0</v>
      </c>
      <c r="I169" s="616">
        <f t="shared" si="21"/>
        <v>0</v>
      </c>
      <c r="J169" s="614">
        <f>'Membership Record'!J170+'Membership Record'!S170</f>
        <v>0</v>
      </c>
      <c r="K169" s="618">
        <f t="shared" si="22"/>
        <v>0</v>
      </c>
      <c r="L169" s="618">
        <f>'Membership Record'!K170+'Membership Record'!T170</f>
        <v>0</v>
      </c>
      <c r="M169" s="615">
        <f t="shared" si="23"/>
        <v>0</v>
      </c>
      <c r="N169" s="614">
        <f>'Membership Record'!L170+'Membership Record'!U170</f>
        <v>0</v>
      </c>
      <c r="O169" s="619">
        <f t="shared" si="24"/>
        <v>0</v>
      </c>
      <c r="P169" s="346"/>
      <c r="Q169" s="93"/>
      <c r="R169" s="94"/>
      <c r="S169" s="94"/>
      <c r="T169" s="330"/>
      <c r="U169" s="347"/>
      <c r="V169" s="92"/>
      <c r="W169" s="94"/>
      <c r="X169" s="95"/>
      <c r="Y169" s="95"/>
      <c r="Z169" s="95"/>
      <c r="AA169" s="94"/>
      <c r="AB169" s="346"/>
      <c r="AC169" s="93"/>
      <c r="AD169" s="94"/>
      <c r="AE169" s="94"/>
      <c r="AF169" s="330"/>
      <c r="AG169" s="347"/>
      <c r="AH169" s="92"/>
      <c r="AI169" s="94"/>
      <c r="AJ169" s="95"/>
      <c r="AK169" s="95"/>
      <c r="AL169" s="95"/>
      <c r="AM169" s="94"/>
      <c r="AN169" s="346"/>
      <c r="AO169" s="93"/>
      <c r="AP169" s="94"/>
      <c r="AQ169" s="94"/>
      <c r="AR169" s="330"/>
      <c r="AS169" s="347"/>
      <c r="AT169" s="92"/>
      <c r="AU169" s="94"/>
      <c r="AV169" s="95"/>
      <c r="AW169" s="95"/>
      <c r="AX169" s="95"/>
      <c r="AY169" s="94"/>
      <c r="AZ169" s="346"/>
      <c r="BA169" s="93"/>
      <c r="BB169" s="94"/>
      <c r="BC169" s="94"/>
      <c r="BD169" s="330"/>
      <c r="BE169" s="347"/>
      <c r="BF169" s="92"/>
      <c r="BG169" s="94"/>
      <c r="BH169" s="95"/>
      <c r="BI169" s="95"/>
      <c r="BJ169" s="95"/>
      <c r="BK169" s="94"/>
      <c r="BL169" s="346"/>
      <c r="BM169" s="93"/>
      <c r="BN169" s="94"/>
      <c r="BO169" s="94"/>
      <c r="BP169" s="330"/>
      <c r="BQ169" s="347"/>
      <c r="BR169" s="92"/>
      <c r="BS169" s="94"/>
      <c r="BT169" s="95"/>
      <c r="BU169" s="95"/>
      <c r="BV169" s="95"/>
      <c r="BW169" s="94"/>
      <c r="BX169" s="346"/>
      <c r="BY169" s="93"/>
      <c r="BZ169" s="94"/>
      <c r="CA169" s="94"/>
      <c r="CB169" s="330"/>
      <c r="CC169" s="347"/>
      <c r="CD169" s="92"/>
      <c r="CE169" s="94"/>
      <c r="CF169" s="95"/>
      <c r="CG169" s="95"/>
      <c r="CH169" s="95"/>
      <c r="CI169" s="94"/>
    </row>
    <row r="170" spans="1:87" x14ac:dyDescent="0.2">
      <c r="A170" s="8">
        <v>161</v>
      </c>
      <c r="B170" s="1125">
        <f>'Membership Record'!B171</f>
        <v>0</v>
      </c>
      <c r="C170" s="1125"/>
      <c r="D170" s="87">
        <f>'Membership Record'!G171+'Membership Record'!P171</f>
        <v>0</v>
      </c>
      <c r="E170" s="350">
        <f t="shared" si="19"/>
        <v>0</v>
      </c>
      <c r="F170" s="614">
        <f>'Membership Record'!H171+'Membership Record'!Q171</f>
        <v>0</v>
      </c>
      <c r="G170" s="615">
        <f t="shared" si="20"/>
        <v>0</v>
      </c>
      <c r="H170" s="614">
        <f>'Membership Record'!I171+'Membership Record'!R171</f>
        <v>0</v>
      </c>
      <c r="I170" s="616">
        <f t="shared" si="21"/>
        <v>0</v>
      </c>
      <c r="J170" s="614">
        <f>'Membership Record'!J171+'Membership Record'!S171</f>
        <v>0</v>
      </c>
      <c r="K170" s="618">
        <f t="shared" si="22"/>
        <v>0</v>
      </c>
      <c r="L170" s="618">
        <f>'Membership Record'!K171+'Membership Record'!T171</f>
        <v>0</v>
      </c>
      <c r="M170" s="615">
        <f t="shared" si="23"/>
        <v>0</v>
      </c>
      <c r="N170" s="614">
        <f>'Membership Record'!L171+'Membership Record'!U171</f>
        <v>0</v>
      </c>
      <c r="O170" s="619">
        <f t="shared" si="24"/>
        <v>0</v>
      </c>
      <c r="P170" s="346"/>
      <c r="Q170" s="93"/>
      <c r="R170" s="94"/>
      <c r="S170" s="94"/>
      <c r="T170" s="330"/>
      <c r="U170" s="347"/>
      <c r="V170" s="92"/>
      <c r="W170" s="94"/>
      <c r="X170" s="95"/>
      <c r="Y170" s="95"/>
      <c r="Z170" s="95"/>
      <c r="AA170" s="94"/>
      <c r="AB170" s="346"/>
      <c r="AC170" s="93"/>
      <c r="AD170" s="94"/>
      <c r="AE170" s="94"/>
      <c r="AF170" s="330"/>
      <c r="AG170" s="347"/>
      <c r="AH170" s="92"/>
      <c r="AI170" s="94"/>
      <c r="AJ170" s="95"/>
      <c r="AK170" s="95"/>
      <c r="AL170" s="95"/>
      <c r="AM170" s="94"/>
      <c r="AN170" s="346"/>
      <c r="AO170" s="93"/>
      <c r="AP170" s="94"/>
      <c r="AQ170" s="94"/>
      <c r="AR170" s="330"/>
      <c r="AS170" s="347"/>
      <c r="AT170" s="92"/>
      <c r="AU170" s="94"/>
      <c r="AV170" s="95"/>
      <c r="AW170" s="95"/>
      <c r="AX170" s="95"/>
      <c r="AY170" s="94"/>
      <c r="AZ170" s="346"/>
      <c r="BA170" s="93"/>
      <c r="BB170" s="94"/>
      <c r="BC170" s="94"/>
      <c r="BD170" s="330"/>
      <c r="BE170" s="347"/>
      <c r="BF170" s="92"/>
      <c r="BG170" s="94"/>
      <c r="BH170" s="95"/>
      <c r="BI170" s="95"/>
      <c r="BJ170" s="95"/>
      <c r="BK170" s="94"/>
      <c r="BL170" s="346"/>
      <c r="BM170" s="93"/>
      <c r="BN170" s="94"/>
      <c r="BO170" s="94"/>
      <c r="BP170" s="330"/>
      <c r="BQ170" s="347"/>
      <c r="BR170" s="92"/>
      <c r="BS170" s="94"/>
      <c r="BT170" s="95"/>
      <c r="BU170" s="95"/>
      <c r="BV170" s="95"/>
      <c r="BW170" s="94"/>
      <c r="BX170" s="346"/>
      <c r="BY170" s="93"/>
      <c r="BZ170" s="94"/>
      <c r="CA170" s="94"/>
      <c r="CB170" s="330"/>
      <c r="CC170" s="347"/>
      <c r="CD170" s="92"/>
      <c r="CE170" s="94"/>
      <c r="CF170" s="95"/>
      <c r="CG170" s="95"/>
      <c r="CH170" s="95"/>
      <c r="CI170" s="94"/>
    </row>
    <row r="171" spans="1:87" x14ac:dyDescent="0.2">
      <c r="A171" s="8">
        <v>162</v>
      </c>
      <c r="B171" s="1125">
        <f>'Membership Record'!B172</f>
        <v>0</v>
      </c>
      <c r="C171" s="1125"/>
      <c r="D171" s="87">
        <f>'Membership Record'!G172+'Membership Record'!P172</f>
        <v>0</v>
      </c>
      <c r="E171" s="350">
        <f t="shared" si="19"/>
        <v>0</v>
      </c>
      <c r="F171" s="614">
        <f>'Membership Record'!H172+'Membership Record'!Q172</f>
        <v>0</v>
      </c>
      <c r="G171" s="615">
        <f t="shared" si="20"/>
        <v>0</v>
      </c>
      <c r="H171" s="614">
        <f>'Membership Record'!I172+'Membership Record'!R172</f>
        <v>0</v>
      </c>
      <c r="I171" s="616">
        <f t="shared" si="21"/>
        <v>0</v>
      </c>
      <c r="J171" s="614">
        <f>'Membership Record'!J172+'Membership Record'!S172</f>
        <v>0</v>
      </c>
      <c r="K171" s="618">
        <f t="shared" si="22"/>
        <v>0</v>
      </c>
      <c r="L171" s="618">
        <f>'Membership Record'!K172+'Membership Record'!T172</f>
        <v>0</v>
      </c>
      <c r="M171" s="615">
        <f t="shared" si="23"/>
        <v>0</v>
      </c>
      <c r="N171" s="614">
        <f>'Membership Record'!L172+'Membership Record'!U172</f>
        <v>0</v>
      </c>
      <c r="O171" s="619">
        <f t="shared" si="24"/>
        <v>0</v>
      </c>
      <c r="P171" s="346"/>
      <c r="Q171" s="93"/>
      <c r="R171" s="94"/>
      <c r="S171" s="94"/>
      <c r="T171" s="330"/>
      <c r="U171" s="347"/>
      <c r="V171" s="92"/>
      <c r="W171" s="94"/>
      <c r="X171" s="95"/>
      <c r="Y171" s="95"/>
      <c r="Z171" s="95"/>
      <c r="AA171" s="94"/>
      <c r="AB171" s="346"/>
      <c r="AC171" s="93"/>
      <c r="AD171" s="94"/>
      <c r="AE171" s="94"/>
      <c r="AF171" s="330"/>
      <c r="AG171" s="347"/>
      <c r="AH171" s="92"/>
      <c r="AI171" s="94"/>
      <c r="AJ171" s="95"/>
      <c r="AK171" s="95"/>
      <c r="AL171" s="95"/>
      <c r="AM171" s="94"/>
      <c r="AN171" s="346"/>
      <c r="AO171" s="93"/>
      <c r="AP171" s="94"/>
      <c r="AQ171" s="94"/>
      <c r="AR171" s="330"/>
      <c r="AS171" s="347"/>
      <c r="AT171" s="92"/>
      <c r="AU171" s="94"/>
      <c r="AV171" s="95"/>
      <c r="AW171" s="95"/>
      <c r="AX171" s="95"/>
      <c r="AY171" s="94"/>
      <c r="AZ171" s="346"/>
      <c r="BA171" s="93"/>
      <c r="BB171" s="94"/>
      <c r="BC171" s="94"/>
      <c r="BD171" s="330"/>
      <c r="BE171" s="347"/>
      <c r="BF171" s="92"/>
      <c r="BG171" s="94"/>
      <c r="BH171" s="95"/>
      <c r="BI171" s="95"/>
      <c r="BJ171" s="95"/>
      <c r="BK171" s="94"/>
      <c r="BL171" s="346"/>
      <c r="BM171" s="93"/>
      <c r="BN171" s="94"/>
      <c r="BO171" s="94"/>
      <c r="BP171" s="330"/>
      <c r="BQ171" s="347"/>
      <c r="BR171" s="92"/>
      <c r="BS171" s="94"/>
      <c r="BT171" s="95"/>
      <c r="BU171" s="95"/>
      <c r="BV171" s="95"/>
      <c r="BW171" s="94"/>
      <c r="BX171" s="346"/>
      <c r="BY171" s="93"/>
      <c r="BZ171" s="94"/>
      <c r="CA171" s="94"/>
      <c r="CB171" s="330"/>
      <c r="CC171" s="347"/>
      <c r="CD171" s="92"/>
      <c r="CE171" s="94"/>
      <c r="CF171" s="95"/>
      <c r="CG171" s="95"/>
      <c r="CH171" s="95"/>
      <c r="CI171" s="94"/>
    </row>
    <row r="172" spans="1:87" x14ac:dyDescent="0.2">
      <c r="A172" s="8">
        <v>163</v>
      </c>
      <c r="B172" s="1125">
        <f>'Membership Record'!B173</f>
        <v>0</v>
      </c>
      <c r="C172" s="1125"/>
      <c r="D172" s="87">
        <f>'Membership Record'!G173+'Membership Record'!P173</f>
        <v>0</v>
      </c>
      <c r="E172" s="350">
        <f t="shared" si="19"/>
        <v>0</v>
      </c>
      <c r="F172" s="614">
        <f>'Membership Record'!H173+'Membership Record'!Q173</f>
        <v>0</v>
      </c>
      <c r="G172" s="615">
        <f t="shared" si="20"/>
        <v>0</v>
      </c>
      <c r="H172" s="614">
        <f>'Membership Record'!I173+'Membership Record'!R173</f>
        <v>0</v>
      </c>
      <c r="I172" s="616">
        <f t="shared" si="21"/>
        <v>0</v>
      </c>
      <c r="J172" s="614">
        <f>'Membership Record'!J173+'Membership Record'!S173</f>
        <v>0</v>
      </c>
      <c r="K172" s="618">
        <f t="shared" si="22"/>
        <v>0</v>
      </c>
      <c r="L172" s="618">
        <f>'Membership Record'!K173+'Membership Record'!T173</f>
        <v>0</v>
      </c>
      <c r="M172" s="615">
        <f t="shared" si="23"/>
        <v>0</v>
      </c>
      <c r="N172" s="614">
        <f>'Membership Record'!L173+'Membership Record'!U173</f>
        <v>0</v>
      </c>
      <c r="O172" s="619">
        <f t="shared" si="24"/>
        <v>0</v>
      </c>
      <c r="P172" s="346"/>
      <c r="Q172" s="93"/>
      <c r="R172" s="94"/>
      <c r="S172" s="94"/>
      <c r="T172" s="330"/>
      <c r="U172" s="347"/>
      <c r="V172" s="92"/>
      <c r="W172" s="94"/>
      <c r="X172" s="95"/>
      <c r="Y172" s="95"/>
      <c r="Z172" s="95"/>
      <c r="AA172" s="94"/>
      <c r="AB172" s="346"/>
      <c r="AC172" s="93"/>
      <c r="AD172" s="94"/>
      <c r="AE172" s="94"/>
      <c r="AF172" s="330"/>
      <c r="AG172" s="347"/>
      <c r="AH172" s="92"/>
      <c r="AI172" s="94"/>
      <c r="AJ172" s="95"/>
      <c r="AK172" s="95"/>
      <c r="AL172" s="95"/>
      <c r="AM172" s="94"/>
      <c r="AN172" s="346"/>
      <c r="AO172" s="93"/>
      <c r="AP172" s="94"/>
      <c r="AQ172" s="94"/>
      <c r="AR172" s="330"/>
      <c r="AS172" s="347"/>
      <c r="AT172" s="92"/>
      <c r="AU172" s="94"/>
      <c r="AV172" s="95"/>
      <c r="AW172" s="95"/>
      <c r="AX172" s="95"/>
      <c r="AY172" s="94"/>
      <c r="AZ172" s="346"/>
      <c r="BA172" s="93"/>
      <c r="BB172" s="94"/>
      <c r="BC172" s="94"/>
      <c r="BD172" s="330"/>
      <c r="BE172" s="347"/>
      <c r="BF172" s="92"/>
      <c r="BG172" s="94"/>
      <c r="BH172" s="95"/>
      <c r="BI172" s="95"/>
      <c r="BJ172" s="95"/>
      <c r="BK172" s="94"/>
      <c r="BL172" s="346"/>
      <c r="BM172" s="93"/>
      <c r="BN172" s="94"/>
      <c r="BO172" s="94"/>
      <c r="BP172" s="330"/>
      <c r="BQ172" s="347"/>
      <c r="BR172" s="92"/>
      <c r="BS172" s="94"/>
      <c r="BT172" s="95"/>
      <c r="BU172" s="95"/>
      <c r="BV172" s="95"/>
      <c r="BW172" s="94"/>
      <c r="BX172" s="346"/>
      <c r="BY172" s="93"/>
      <c r="BZ172" s="94"/>
      <c r="CA172" s="94"/>
      <c r="CB172" s="330"/>
      <c r="CC172" s="347"/>
      <c r="CD172" s="92"/>
      <c r="CE172" s="94"/>
      <c r="CF172" s="95"/>
      <c r="CG172" s="95"/>
      <c r="CH172" s="95"/>
      <c r="CI172" s="94"/>
    </row>
    <row r="173" spans="1:87" x14ac:dyDescent="0.2">
      <c r="A173" s="8">
        <v>164</v>
      </c>
      <c r="B173" s="1125">
        <f>'Membership Record'!B174</f>
        <v>0</v>
      </c>
      <c r="C173" s="1125"/>
      <c r="D173" s="87">
        <f>'Membership Record'!G174+'Membership Record'!P174</f>
        <v>0</v>
      </c>
      <c r="E173" s="350">
        <f t="shared" si="19"/>
        <v>0</v>
      </c>
      <c r="F173" s="614">
        <f>'Membership Record'!H174+'Membership Record'!Q174</f>
        <v>0</v>
      </c>
      <c r="G173" s="615">
        <f t="shared" si="20"/>
        <v>0</v>
      </c>
      <c r="H173" s="614">
        <f>'Membership Record'!I174+'Membership Record'!R174</f>
        <v>0</v>
      </c>
      <c r="I173" s="616">
        <f t="shared" si="21"/>
        <v>0</v>
      </c>
      <c r="J173" s="614">
        <f>'Membership Record'!J174+'Membership Record'!S174</f>
        <v>0</v>
      </c>
      <c r="K173" s="618">
        <f t="shared" si="22"/>
        <v>0</v>
      </c>
      <c r="L173" s="618">
        <f>'Membership Record'!K174+'Membership Record'!T174</f>
        <v>0</v>
      </c>
      <c r="M173" s="615">
        <f t="shared" si="23"/>
        <v>0</v>
      </c>
      <c r="N173" s="614">
        <f>'Membership Record'!L174+'Membership Record'!U174</f>
        <v>0</v>
      </c>
      <c r="O173" s="619">
        <f t="shared" si="24"/>
        <v>0</v>
      </c>
      <c r="P173" s="346"/>
      <c r="Q173" s="93"/>
      <c r="R173" s="94"/>
      <c r="S173" s="94"/>
      <c r="T173" s="330"/>
      <c r="U173" s="347"/>
      <c r="V173" s="92"/>
      <c r="W173" s="94"/>
      <c r="X173" s="95"/>
      <c r="Y173" s="95"/>
      <c r="Z173" s="95"/>
      <c r="AA173" s="94"/>
      <c r="AB173" s="346"/>
      <c r="AC173" s="93"/>
      <c r="AD173" s="94"/>
      <c r="AE173" s="94"/>
      <c r="AF173" s="330"/>
      <c r="AG173" s="347"/>
      <c r="AH173" s="92"/>
      <c r="AI173" s="94"/>
      <c r="AJ173" s="95"/>
      <c r="AK173" s="95"/>
      <c r="AL173" s="95"/>
      <c r="AM173" s="94"/>
      <c r="AN173" s="346"/>
      <c r="AO173" s="93"/>
      <c r="AP173" s="94"/>
      <c r="AQ173" s="94"/>
      <c r="AR173" s="330"/>
      <c r="AS173" s="347"/>
      <c r="AT173" s="92"/>
      <c r="AU173" s="94"/>
      <c r="AV173" s="95"/>
      <c r="AW173" s="95"/>
      <c r="AX173" s="95"/>
      <c r="AY173" s="94"/>
      <c r="AZ173" s="346"/>
      <c r="BA173" s="93"/>
      <c r="BB173" s="94"/>
      <c r="BC173" s="94"/>
      <c r="BD173" s="330"/>
      <c r="BE173" s="347"/>
      <c r="BF173" s="92"/>
      <c r="BG173" s="94"/>
      <c r="BH173" s="95"/>
      <c r="BI173" s="95"/>
      <c r="BJ173" s="95"/>
      <c r="BK173" s="94"/>
      <c r="BL173" s="346"/>
      <c r="BM173" s="93"/>
      <c r="BN173" s="94"/>
      <c r="BO173" s="94"/>
      <c r="BP173" s="330"/>
      <c r="BQ173" s="347"/>
      <c r="BR173" s="92"/>
      <c r="BS173" s="94"/>
      <c r="BT173" s="95"/>
      <c r="BU173" s="95"/>
      <c r="BV173" s="95"/>
      <c r="BW173" s="94"/>
      <c r="BX173" s="346"/>
      <c r="BY173" s="93"/>
      <c r="BZ173" s="94"/>
      <c r="CA173" s="94"/>
      <c r="CB173" s="330"/>
      <c r="CC173" s="347"/>
      <c r="CD173" s="92"/>
      <c r="CE173" s="94"/>
      <c r="CF173" s="95"/>
      <c r="CG173" s="95"/>
      <c r="CH173" s="95"/>
      <c r="CI173" s="94"/>
    </row>
    <row r="174" spans="1:87" x14ac:dyDescent="0.2">
      <c r="A174" s="8">
        <v>165</v>
      </c>
      <c r="B174" s="1125">
        <f>'Membership Record'!B175</f>
        <v>0</v>
      </c>
      <c r="C174" s="1125"/>
      <c r="D174" s="87">
        <f>'Membership Record'!G175+'Membership Record'!P175</f>
        <v>0</v>
      </c>
      <c r="E174" s="350">
        <f t="shared" si="19"/>
        <v>0</v>
      </c>
      <c r="F174" s="614">
        <f>'Membership Record'!H175+'Membership Record'!Q175</f>
        <v>0</v>
      </c>
      <c r="G174" s="615">
        <f t="shared" si="20"/>
        <v>0</v>
      </c>
      <c r="H174" s="614">
        <f>'Membership Record'!I175+'Membership Record'!R175</f>
        <v>0</v>
      </c>
      <c r="I174" s="616">
        <f t="shared" si="21"/>
        <v>0</v>
      </c>
      <c r="J174" s="614">
        <f>'Membership Record'!J175+'Membership Record'!S175</f>
        <v>0</v>
      </c>
      <c r="K174" s="618">
        <f t="shared" si="22"/>
        <v>0</v>
      </c>
      <c r="L174" s="618">
        <f>'Membership Record'!K175+'Membership Record'!T175</f>
        <v>0</v>
      </c>
      <c r="M174" s="615">
        <f t="shared" si="23"/>
        <v>0</v>
      </c>
      <c r="N174" s="614">
        <f>'Membership Record'!L175+'Membership Record'!U175</f>
        <v>0</v>
      </c>
      <c r="O174" s="619">
        <f t="shared" si="24"/>
        <v>0</v>
      </c>
      <c r="P174" s="346"/>
      <c r="Q174" s="93"/>
      <c r="R174" s="94"/>
      <c r="S174" s="94"/>
      <c r="T174" s="330"/>
      <c r="U174" s="347"/>
      <c r="V174" s="92"/>
      <c r="W174" s="94"/>
      <c r="X174" s="95"/>
      <c r="Y174" s="95"/>
      <c r="Z174" s="95"/>
      <c r="AA174" s="94"/>
      <c r="AB174" s="346"/>
      <c r="AC174" s="93"/>
      <c r="AD174" s="94"/>
      <c r="AE174" s="94"/>
      <c r="AF174" s="330"/>
      <c r="AG174" s="347"/>
      <c r="AH174" s="92"/>
      <c r="AI174" s="94"/>
      <c r="AJ174" s="95"/>
      <c r="AK174" s="95"/>
      <c r="AL174" s="95"/>
      <c r="AM174" s="94"/>
      <c r="AN174" s="346"/>
      <c r="AO174" s="93"/>
      <c r="AP174" s="94"/>
      <c r="AQ174" s="94"/>
      <c r="AR174" s="330"/>
      <c r="AS174" s="347"/>
      <c r="AT174" s="92"/>
      <c r="AU174" s="94"/>
      <c r="AV174" s="95"/>
      <c r="AW174" s="95"/>
      <c r="AX174" s="95"/>
      <c r="AY174" s="94"/>
      <c r="AZ174" s="346"/>
      <c r="BA174" s="93"/>
      <c r="BB174" s="94"/>
      <c r="BC174" s="94"/>
      <c r="BD174" s="330"/>
      <c r="BE174" s="347"/>
      <c r="BF174" s="92"/>
      <c r="BG174" s="94"/>
      <c r="BH174" s="95"/>
      <c r="BI174" s="95"/>
      <c r="BJ174" s="95"/>
      <c r="BK174" s="94"/>
      <c r="BL174" s="346"/>
      <c r="BM174" s="93"/>
      <c r="BN174" s="94"/>
      <c r="BO174" s="94"/>
      <c r="BP174" s="330"/>
      <c r="BQ174" s="347"/>
      <c r="BR174" s="92"/>
      <c r="BS174" s="94"/>
      <c r="BT174" s="95"/>
      <c r="BU174" s="95"/>
      <c r="BV174" s="95"/>
      <c r="BW174" s="94"/>
      <c r="BX174" s="346"/>
      <c r="BY174" s="93"/>
      <c r="BZ174" s="94"/>
      <c r="CA174" s="94"/>
      <c r="CB174" s="330"/>
      <c r="CC174" s="347"/>
      <c r="CD174" s="92"/>
      <c r="CE174" s="94"/>
      <c r="CF174" s="95"/>
      <c r="CG174" s="95"/>
      <c r="CH174" s="95"/>
      <c r="CI174" s="94"/>
    </row>
    <row r="175" spans="1:87" x14ac:dyDescent="0.2">
      <c r="A175" s="8">
        <v>166</v>
      </c>
      <c r="B175" s="1125">
        <f>'Membership Record'!B176</f>
        <v>0</v>
      </c>
      <c r="C175" s="1125"/>
      <c r="D175" s="87">
        <f>'Membership Record'!G176+'Membership Record'!P176</f>
        <v>0</v>
      </c>
      <c r="E175" s="350">
        <f t="shared" si="19"/>
        <v>0</v>
      </c>
      <c r="F175" s="614">
        <f>'Membership Record'!H176+'Membership Record'!Q176</f>
        <v>0</v>
      </c>
      <c r="G175" s="615">
        <f t="shared" si="20"/>
        <v>0</v>
      </c>
      <c r="H175" s="614">
        <f>'Membership Record'!I176+'Membership Record'!R176</f>
        <v>0</v>
      </c>
      <c r="I175" s="616">
        <f t="shared" si="21"/>
        <v>0</v>
      </c>
      <c r="J175" s="614">
        <f>'Membership Record'!J176+'Membership Record'!S176</f>
        <v>0</v>
      </c>
      <c r="K175" s="618">
        <f t="shared" si="22"/>
        <v>0</v>
      </c>
      <c r="L175" s="618">
        <f>'Membership Record'!K176+'Membership Record'!T176</f>
        <v>0</v>
      </c>
      <c r="M175" s="615">
        <f t="shared" si="23"/>
        <v>0</v>
      </c>
      <c r="N175" s="614">
        <f>'Membership Record'!L176+'Membership Record'!U176</f>
        <v>0</v>
      </c>
      <c r="O175" s="619">
        <f t="shared" si="24"/>
        <v>0</v>
      </c>
      <c r="P175" s="346"/>
      <c r="Q175" s="93"/>
      <c r="R175" s="94"/>
      <c r="S175" s="94"/>
      <c r="T175" s="330"/>
      <c r="U175" s="347"/>
      <c r="V175" s="92"/>
      <c r="W175" s="94"/>
      <c r="X175" s="95"/>
      <c r="Y175" s="95"/>
      <c r="Z175" s="95"/>
      <c r="AA175" s="94"/>
      <c r="AB175" s="346"/>
      <c r="AC175" s="93"/>
      <c r="AD175" s="94"/>
      <c r="AE175" s="94"/>
      <c r="AF175" s="330"/>
      <c r="AG175" s="347"/>
      <c r="AH175" s="92"/>
      <c r="AI175" s="94"/>
      <c r="AJ175" s="95"/>
      <c r="AK175" s="95"/>
      <c r="AL175" s="95"/>
      <c r="AM175" s="94"/>
      <c r="AN175" s="346"/>
      <c r="AO175" s="93"/>
      <c r="AP175" s="94"/>
      <c r="AQ175" s="94"/>
      <c r="AR175" s="330"/>
      <c r="AS175" s="347"/>
      <c r="AT175" s="92"/>
      <c r="AU175" s="94"/>
      <c r="AV175" s="95"/>
      <c r="AW175" s="95"/>
      <c r="AX175" s="95"/>
      <c r="AY175" s="94"/>
      <c r="AZ175" s="346"/>
      <c r="BA175" s="93"/>
      <c r="BB175" s="94"/>
      <c r="BC175" s="94"/>
      <c r="BD175" s="330"/>
      <c r="BE175" s="347"/>
      <c r="BF175" s="92"/>
      <c r="BG175" s="94"/>
      <c r="BH175" s="95"/>
      <c r="BI175" s="95"/>
      <c r="BJ175" s="95"/>
      <c r="BK175" s="94"/>
      <c r="BL175" s="346"/>
      <c r="BM175" s="93"/>
      <c r="BN175" s="94"/>
      <c r="BO175" s="94"/>
      <c r="BP175" s="330"/>
      <c r="BQ175" s="347"/>
      <c r="BR175" s="92"/>
      <c r="BS175" s="94"/>
      <c r="BT175" s="95"/>
      <c r="BU175" s="95"/>
      <c r="BV175" s="95"/>
      <c r="BW175" s="94"/>
      <c r="BX175" s="346"/>
      <c r="BY175" s="93"/>
      <c r="BZ175" s="94"/>
      <c r="CA175" s="94"/>
      <c r="CB175" s="330"/>
      <c r="CC175" s="347"/>
      <c r="CD175" s="92"/>
      <c r="CE175" s="94"/>
      <c r="CF175" s="95"/>
      <c r="CG175" s="95"/>
      <c r="CH175" s="95"/>
      <c r="CI175" s="94"/>
    </row>
    <row r="176" spans="1:87" x14ac:dyDescent="0.2">
      <c r="A176" s="8">
        <v>167</v>
      </c>
      <c r="B176" s="1125">
        <f>'Membership Record'!B177</f>
        <v>0</v>
      </c>
      <c r="C176" s="1125"/>
      <c r="D176" s="87">
        <f>'Membership Record'!G177+'Membership Record'!P177</f>
        <v>0</v>
      </c>
      <c r="E176" s="350">
        <f t="shared" si="19"/>
        <v>0</v>
      </c>
      <c r="F176" s="614">
        <f>'Membership Record'!H177+'Membership Record'!Q177</f>
        <v>0</v>
      </c>
      <c r="G176" s="615">
        <f t="shared" si="20"/>
        <v>0</v>
      </c>
      <c r="H176" s="614">
        <f>'Membership Record'!I177+'Membership Record'!R177</f>
        <v>0</v>
      </c>
      <c r="I176" s="616">
        <f t="shared" si="21"/>
        <v>0</v>
      </c>
      <c r="J176" s="614">
        <f>'Membership Record'!J177+'Membership Record'!S177</f>
        <v>0</v>
      </c>
      <c r="K176" s="618">
        <f t="shared" si="22"/>
        <v>0</v>
      </c>
      <c r="L176" s="618">
        <f>'Membership Record'!K177+'Membership Record'!T177</f>
        <v>0</v>
      </c>
      <c r="M176" s="615">
        <f t="shared" si="23"/>
        <v>0</v>
      </c>
      <c r="N176" s="614">
        <f>'Membership Record'!L177+'Membership Record'!U177</f>
        <v>0</v>
      </c>
      <c r="O176" s="619">
        <f t="shared" si="24"/>
        <v>0</v>
      </c>
      <c r="P176" s="346"/>
      <c r="Q176" s="93"/>
      <c r="R176" s="94"/>
      <c r="S176" s="94"/>
      <c r="T176" s="330"/>
      <c r="U176" s="347"/>
      <c r="V176" s="92"/>
      <c r="W176" s="94"/>
      <c r="X176" s="95"/>
      <c r="Y176" s="95"/>
      <c r="Z176" s="95"/>
      <c r="AA176" s="94"/>
      <c r="AB176" s="346"/>
      <c r="AC176" s="93"/>
      <c r="AD176" s="94"/>
      <c r="AE176" s="94"/>
      <c r="AF176" s="330"/>
      <c r="AG176" s="347"/>
      <c r="AH176" s="92"/>
      <c r="AI176" s="94"/>
      <c r="AJ176" s="95"/>
      <c r="AK176" s="95"/>
      <c r="AL176" s="95"/>
      <c r="AM176" s="94"/>
      <c r="AN176" s="346"/>
      <c r="AO176" s="93"/>
      <c r="AP176" s="94"/>
      <c r="AQ176" s="94"/>
      <c r="AR176" s="330"/>
      <c r="AS176" s="347"/>
      <c r="AT176" s="92"/>
      <c r="AU176" s="94"/>
      <c r="AV176" s="95"/>
      <c r="AW176" s="95"/>
      <c r="AX176" s="95"/>
      <c r="AY176" s="94"/>
      <c r="AZ176" s="346"/>
      <c r="BA176" s="93"/>
      <c r="BB176" s="94"/>
      <c r="BC176" s="94"/>
      <c r="BD176" s="330"/>
      <c r="BE176" s="347"/>
      <c r="BF176" s="92"/>
      <c r="BG176" s="94"/>
      <c r="BH176" s="95"/>
      <c r="BI176" s="95"/>
      <c r="BJ176" s="95"/>
      <c r="BK176" s="94"/>
      <c r="BL176" s="346"/>
      <c r="BM176" s="93"/>
      <c r="BN176" s="94"/>
      <c r="BO176" s="94"/>
      <c r="BP176" s="330"/>
      <c r="BQ176" s="347"/>
      <c r="BR176" s="92"/>
      <c r="BS176" s="94"/>
      <c r="BT176" s="95"/>
      <c r="BU176" s="95"/>
      <c r="BV176" s="95"/>
      <c r="BW176" s="94"/>
      <c r="BX176" s="346"/>
      <c r="BY176" s="93"/>
      <c r="BZ176" s="94"/>
      <c r="CA176" s="94"/>
      <c r="CB176" s="330"/>
      <c r="CC176" s="347"/>
      <c r="CD176" s="92"/>
      <c r="CE176" s="94"/>
      <c r="CF176" s="95"/>
      <c r="CG176" s="95"/>
      <c r="CH176" s="95"/>
      <c r="CI176" s="94"/>
    </row>
    <row r="177" spans="1:87" x14ac:dyDescent="0.2">
      <c r="A177" s="8">
        <v>168</v>
      </c>
      <c r="B177" s="1125">
        <f>'Membership Record'!B178</f>
        <v>0</v>
      </c>
      <c r="C177" s="1125"/>
      <c r="D177" s="87">
        <f>'Membership Record'!G178+'Membership Record'!P178</f>
        <v>0</v>
      </c>
      <c r="E177" s="350">
        <f t="shared" si="19"/>
        <v>0</v>
      </c>
      <c r="F177" s="614">
        <f>'Membership Record'!H178+'Membership Record'!Q178</f>
        <v>0</v>
      </c>
      <c r="G177" s="615">
        <f t="shared" si="20"/>
        <v>0</v>
      </c>
      <c r="H177" s="614">
        <f>'Membership Record'!I178+'Membership Record'!R178</f>
        <v>0</v>
      </c>
      <c r="I177" s="616">
        <f t="shared" si="21"/>
        <v>0</v>
      </c>
      <c r="J177" s="614">
        <f>'Membership Record'!J178+'Membership Record'!S178</f>
        <v>0</v>
      </c>
      <c r="K177" s="618">
        <f t="shared" si="22"/>
        <v>0</v>
      </c>
      <c r="L177" s="618">
        <f>'Membership Record'!K178+'Membership Record'!T178</f>
        <v>0</v>
      </c>
      <c r="M177" s="615">
        <f t="shared" si="23"/>
        <v>0</v>
      </c>
      <c r="N177" s="614">
        <f>'Membership Record'!L178+'Membership Record'!U178</f>
        <v>0</v>
      </c>
      <c r="O177" s="619">
        <f t="shared" si="24"/>
        <v>0</v>
      </c>
      <c r="P177" s="346"/>
      <c r="Q177" s="93"/>
      <c r="R177" s="94"/>
      <c r="S177" s="94"/>
      <c r="T177" s="330"/>
      <c r="U177" s="347"/>
      <c r="V177" s="92"/>
      <c r="W177" s="94"/>
      <c r="X177" s="95"/>
      <c r="Y177" s="95"/>
      <c r="Z177" s="95"/>
      <c r="AA177" s="94"/>
      <c r="AB177" s="346"/>
      <c r="AC177" s="93"/>
      <c r="AD177" s="94"/>
      <c r="AE177" s="94"/>
      <c r="AF177" s="330"/>
      <c r="AG177" s="347"/>
      <c r="AH177" s="92"/>
      <c r="AI177" s="94"/>
      <c r="AJ177" s="95"/>
      <c r="AK177" s="95"/>
      <c r="AL177" s="95"/>
      <c r="AM177" s="94"/>
      <c r="AN177" s="346"/>
      <c r="AO177" s="93"/>
      <c r="AP177" s="94"/>
      <c r="AQ177" s="94"/>
      <c r="AR177" s="330"/>
      <c r="AS177" s="347"/>
      <c r="AT177" s="92"/>
      <c r="AU177" s="94"/>
      <c r="AV177" s="95"/>
      <c r="AW177" s="95"/>
      <c r="AX177" s="95"/>
      <c r="AY177" s="94"/>
      <c r="AZ177" s="346"/>
      <c r="BA177" s="93"/>
      <c r="BB177" s="94"/>
      <c r="BC177" s="94"/>
      <c r="BD177" s="330"/>
      <c r="BE177" s="347"/>
      <c r="BF177" s="92"/>
      <c r="BG177" s="94"/>
      <c r="BH177" s="95"/>
      <c r="BI177" s="95"/>
      <c r="BJ177" s="95"/>
      <c r="BK177" s="94"/>
      <c r="BL177" s="346"/>
      <c r="BM177" s="93"/>
      <c r="BN177" s="94"/>
      <c r="BO177" s="94"/>
      <c r="BP177" s="330"/>
      <c r="BQ177" s="347"/>
      <c r="BR177" s="92"/>
      <c r="BS177" s="94"/>
      <c r="BT177" s="95"/>
      <c r="BU177" s="95"/>
      <c r="BV177" s="95"/>
      <c r="BW177" s="94"/>
      <c r="BX177" s="346"/>
      <c r="BY177" s="93"/>
      <c r="BZ177" s="94"/>
      <c r="CA177" s="94"/>
      <c r="CB177" s="330"/>
      <c r="CC177" s="347"/>
      <c r="CD177" s="92"/>
      <c r="CE177" s="94"/>
      <c r="CF177" s="95"/>
      <c r="CG177" s="95"/>
      <c r="CH177" s="95"/>
      <c r="CI177" s="94"/>
    </row>
    <row r="178" spans="1:87" x14ac:dyDescent="0.2">
      <c r="A178" s="8">
        <v>169</v>
      </c>
      <c r="B178" s="1125">
        <f>'Membership Record'!B179</f>
        <v>0</v>
      </c>
      <c r="C178" s="1125"/>
      <c r="D178" s="87">
        <f>'Membership Record'!G179+'Membership Record'!P179</f>
        <v>0</v>
      </c>
      <c r="E178" s="350">
        <f t="shared" si="19"/>
        <v>0</v>
      </c>
      <c r="F178" s="614">
        <f>'Membership Record'!H179+'Membership Record'!Q179</f>
        <v>0</v>
      </c>
      <c r="G178" s="615">
        <f t="shared" si="20"/>
        <v>0</v>
      </c>
      <c r="H178" s="614">
        <f>'Membership Record'!I179+'Membership Record'!R179</f>
        <v>0</v>
      </c>
      <c r="I178" s="616">
        <f t="shared" si="21"/>
        <v>0</v>
      </c>
      <c r="J178" s="614">
        <f>'Membership Record'!J179+'Membership Record'!S179</f>
        <v>0</v>
      </c>
      <c r="K178" s="618">
        <f t="shared" si="22"/>
        <v>0</v>
      </c>
      <c r="L178" s="618">
        <f>'Membership Record'!K179+'Membership Record'!T179</f>
        <v>0</v>
      </c>
      <c r="M178" s="615">
        <f t="shared" si="23"/>
        <v>0</v>
      </c>
      <c r="N178" s="614">
        <f>'Membership Record'!L179+'Membership Record'!U179</f>
        <v>0</v>
      </c>
      <c r="O178" s="619">
        <f t="shared" si="24"/>
        <v>0</v>
      </c>
      <c r="P178" s="346"/>
      <c r="Q178" s="93"/>
      <c r="R178" s="94"/>
      <c r="S178" s="94"/>
      <c r="T178" s="330"/>
      <c r="U178" s="347"/>
      <c r="V178" s="92"/>
      <c r="W178" s="94"/>
      <c r="X178" s="95"/>
      <c r="Y178" s="95"/>
      <c r="Z178" s="95"/>
      <c r="AA178" s="94"/>
      <c r="AB178" s="346"/>
      <c r="AC178" s="93"/>
      <c r="AD178" s="94"/>
      <c r="AE178" s="94"/>
      <c r="AF178" s="330"/>
      <c r="AG178" s="347"/>
      <c r="AH178" s="92"/>
      <c r="AI178" s="94"/>
      <c r="AJ178" s="95"/>
      <c r="AK178" s="95"/>
      <c r="AL178" s="95"/>
      <c r="AM178" s="94"/>
      <c r="AN178" s="346"/>
      <c r="AO178" s="93"/>
      <c r="AP178" s="94"/>
      <c r="AQ178" s="94"/>
      <c r="AR178" s="330"/>
      <c r="AS178" s="347"/>
      <c r="AT178" s="92"/>
      <c r="AU178" s="94"/>
      <c r="AV178" s="95"/>
      <c r="AW178" s="95"/>
      <c r="AX178" s="95"/>
      <c r="AY178" s="94"/>
      <c r="AZ178" s="346"/>
      <c r="BA178" s="93"/>
      <c r="BB178" s="94"/>
      <c r="BC178" s="94"/>
      <c r="BD178" s="330"/>
      <c r="BE178" s="347"/>
      <c r="BF178" s="92"/>
      <c r="BG178" s="94"/>
      <c r="BH178" s="95"/>
      <c r="BI178" s="95"/>
      <c r="BJ178" s="95"/>
      <c r="BK178" s="94"/>
      <c r="BL178" s="346"/>
      <c r="BM178" s="93"/>
      <c r="BN178" s="94"/>
      <c r="BO178" s="94"/>
      <c r="BP178" s="330"/>
      <c r="BQ178" s="347"/>
      <c r="BR178" s="92"/>
      <c r="BS178" s="94"/>
      <c r="BT178" s="95"/>
      <c r="BU178" s="95"/>
      <c r="BV178" s="95"/>
      <c r="BW178" s="94"/>
      <c r="BX178" s="346"/>
      <c r="BY178" s="93"/>
      <c r="BZ178" s="94"/>
      <c r="CA178" s="94"/>
      <c r="CB178" s="330"/>
      <c r="CC178" s="347"/>
      <c r="CD178" s="92"/>
      <c r="CE178" s="94"/>
      <c r="CF178" s="95"/>
      <c r="CG178" s="95"/>
      <c r="CH178" s="95"/>
      <c r="CI178" s="94"/>
    </row>
    <row r="179" spans="1:87" x14ac:dyDescent="0.2">
      <c r="A179" s="8">
        <v>170</v>
      </c>
      <c r="B179" s="1125">
        <f>'Membership Record'!B180</f>
        <v>0</v>
      </c>
      <c r="C179" s="1125"/>
      <c r="D179" s="87">
        <f>'Membership Record'!G180+'Membership Record'!P180</f>
        <v>0</v>
      </c>
      <c r="E179" s="350">
        <f t="shared" si="19"/>
        <v>0</v>
      </c>
      <c r="F179" s="614">
        <f>'Membership Record'!H180+'Membership Record'!Q180</f>
        <v>0</v>
      </c>
      <c r="G179" s="615">
        <f t="shared" si="20"/>
        <v>0</v>
      </c>
      <c r="H179" s="614">
        <f>'Membership Record'!I180+'Membership Record'!R180</f>
        <v>0</v>
      </c>
      <c r="I179" s="616">
        <f t="shared" si="21"/>
        <v>0</v>
      </c>
      <c r="J179" s="614">
        <f>'Membership Record'!J180+'Membership Record'!S180</f>
        <v>0</v>
      </c>
      <c r="K179" s="618">
        <f t="shared" si="22"/>
        <v>0</v>
      </c>
      <c r="L179" s="618">
        <f>'Membership Record'!K180+'Membership Record'!T180</f>
        <v>0</v>
      </c>
      <c r="M179" s="615">
        <f t="shared" si="23"/>
        <v>0</v>
      </c>
      <c r="N179" s="614">
        <f>'Membership Record'!L180+'Membership Record'!U180</f>
        <v>0</v>
      </c>
      <c r="O179" s="619">
        <f t="shared" si="24"/>
        <v>0</v>
      </c>
      <c r="P179" s="346"/>
      <c r="Q179" s="93"/>
      <c r="R179" s="94"/>
      <c r="S179" s="94"/>
      <c r="T179" s="330"/>
      <c r="U179" s="347"/>
      <c r="V179" s="92"/>
      <c r="W179" s="94"/>
      <c r="X179" s="95"/>
      <c r="Y179" s="95"/>
      <c r="Z179" s="95"/>
      <c r="AA179" s="94"/>
      <c r="AB179" s="346"/>
      <c r="AC179" s="93"/>
      <c r="AD179" s="94"/>
      <c r="AE179" s="94"/>
      <c r="AF179" s="330"/>
      <c r="AG179" s="347"/>
      <c r="AH179" s="92"/>
      <c r="AI179" s="94"/>
      <c r="AJ179" s="95"/>
      <c r="AK179" s="95"/>
      <c r="AL179" s="95"/>
      <c r="AM179" s="94"/>
      <c r="AN179" s="346"/>
      <c r="AO179" s="93"/>
      <c r="AP179" s="94"/>
      <c r="AQ179" s="94"/>
      <c r="AR179" s="330"/>
      <c r="AS179" s="347"/>
      <c r="AT179" s="92"/>
      <c r="AU179" s="94"/>
      <c r="AV179" s="95"/>
      <c r="AW179" s="95"/>
      <c r="AX179" s="95"/>
      <c r="AY179" s="94"/>
      <c r="AZ179" s="346"/>
      <c r="BA179" s="93"/>
      <c r="BB179" s="94"/>
      <c r="BC179" s="94"/>
      <c r="BD179" s="330"/>
      <c r="BE179" s="347"/>
      <c r="BF179" s="92"/>
      <c r="BG179" s="94"/>
      <c r="BH179" s="95"/>
      <c r="BI179" s="95"/>
      <c r="BJ179" s="95"/>
      <c r="BK179" s="94"/>
      <c r="BL179" s="346"/>
      <c r="BM179" s="93"/>
      <c r="BN179" s="94"/>
      <c r="BO179" s="94"/>
      <c r="BP179" s="330"/>
      <c r="BQ179" s="347"/>
      <c r="BR179" s="92"/>
      <c r="BS179" s="94"/>
      <c r="BT179" s="95"/>
      <c r="BU179" s="95"/>
      <c r="BV179" s="95"/>
      <c r="BW179" s="94"/>
      <c r="BX179" s="346"/>
      <c r="BY179" s="93"/>
      <c r="BZ179" s="94"/>
      <c r="CA179" s="94"/>
      <c r="CB179" s="330"/>
      <c r="CC179" s="347"/>
      <c r="CD179" s="92"/>
      <c r="CE179" s="94"/>
      <c r="CF179" s="95"/>
      <c r="CG179" s="95"/>
      <c r="CH179" s="95"/>
      <c r="CI179" s="94"/>
    </row>
    <row r="180" spans="1:87" x14ac:dyDescent="0.2">
      <c r="A180" s="8">
        <v>171</v>
      </c>
      <c r="B180" s="1125">
        <f>'Membership Record'!B181</f>
        <v>0</v>
      </c>
      <c r="C180" s="1125"/>
      <c r="D180" s="87">
        <f>'Membership Record'!G181+'Membership Record'!P181</f>
        <v>0</v>
      </c>
      <c r="E180" s="350">
        <f t="shared" si="19"/>
        <v>0</v>
      </c>
      <c r="F180" s="614">
        <f>'Membership Record'!H181+'Membership Record'!Q181</f>
        <v>0</v>
      </c>
      <c r="G180" s="615">
        <f t="shared" si="20"/>
        <v>0</v>
      </c>
      <c r="H180" s="614">
        <f>'Membership Record'!I181+'Membership Record'!R181</f>
        <v>0</v>
      </c>
      <c r="I180" s="616">
        <f t="shared" si="21"/>
        <v>0</v>
      </c>
      <c r="J180" s="614">
        <f>'Membership Record'!J181+'Membership Record'!S181</f>
        <v>0</v>
      </c>
      <c r="K180" s="618">
        <f t="shared" si="22"/>
        <v>0</v>
      </c>
      <c r="L180" s="618">
        <f>'Membership Record'!K181+'Membership Record'!T181</f>
        <v>0</v>
      </c>
      <c r="M180" s="615">
        <f t="shared" si="23"/>
        <v>0</v>
      </c>
      <c r="N180" s="614">
        <f>'Membership Record'!L181+'Membership Record'!U181</f>
        <v>0</v>
      </c>
      <c r="O180" s="619">
        <f t="shared" si="24"/>
        <v>0</v>
      </c>
      <c r="P180" s="346"/>
      <c r="Q180" s="93"/>
      <c r="R180" s="94"/>
      <c r="S180" s="94"/>
      <c r="T180" s="330"/>
      <c r="U180" s="347"/>
      <c r="V180" s="92"/>
      <c r="W180" s="94"/>
      <c r="X180" s="95"/>
      <c r="Y180" s="95"/>
      <c r="Z180" s="95"/>
      <c r="AA180" s="94"/>
      <c r="AB180" s="346"/>
      <c r="AC180" s="93"/>
      <c r="AD180" s="94"/>
      <c r="AE180" s="94"/>
      <c r="AF180" s="330"/>
      <c r="AG180" s="347"/>
      <c r="AH180" s="92"/>
      <c r="AI180" s="94"/>
      <c r="AJ180" s="95"/>
      <c r="AK180" s="95"/>
      <c r="AL180" s="95"/>
      <c r="AM180" s="94"/>
      <c r="AN180" s="346"/>
      <c r="AO180" s="93"/>
      <c r="AP180" s="94"/>
      <c r="AQ180" s="94"/>
      <c r="AR180" s="330"/>
      <c r="AS180" s="347"/>
      <c r="AT180" s="92"/>
      <c r="AU180" s="94"/>
      <c r="AV180" s="95"/>
      <c r="AW180" s="95"/>
      <c r="AX180" s="95"/>
      <c r="AY180" s="94"/>
      <c r="AZ180" s="346"/>
      <c r="BA180" s="93"/>
      <c r="BB180" s="94"/>
      <c r="BC180" s="94"/>
      <c r="BD180" s="330"/>
      <c r="BE180" s="347"/>
      <c r="BF180" s="92"/>
      <c r="BG180" s="94"/>
      <c r="BH180" s="95"/>
      <c r="BI180" s="95"/>
      <c r="BJ180" s="95"/>
      <c r="BK180" s="94"/>
      <c r="BL180" s="346"/>
      <c r="BM180" s="93"/>
      <c r="BN180" s="94"/>
      <c r="BO180" s="94"/>
      <c r="BP180" s="330"/>
      <c r="BQ180" s="347"/>
      <c r="BR180" s="92"/>
      <c r="BS180" s="94"/>
      <c r="BT180" s="95"/>
      <c r="BU180" s="95"/>
      <c r="BV180" s="95"/>
      <c r="BW180" s="94"/>
      <c r="BX180" s="346"/>
      <c r="BY180" s="93"/>
      <c r="BZ180" s="94"/>
      <c r="CA180" s="94"/>
      <c r="CB180" s="330"/>
      <c r="CC180" s="347"/>
      <c r="CD180" s="92"/>
      <c r="CE180" s="94"/>
      <c r="CF180" s="95"/>
      <c r="CG180" s="95"/>
      <c r="CH180" s="95"/>
      <c r="CI180" s="94"/>
    </row>
    <row r="181" spans="1:87" x14ac:dyDescent="0.2">
      <c r="A181" s="8">
        <v>172</v>
      </c>
      <c r="B181" s="1125">
        <f>'Membership Record'!B182</f>
        <v>0</v>
      </c>
      <c r="C181" s="1125"/>
      <c r="D181" s="87">
        <f>'Membership Record'!G182+'Membership Record'!P182</f>
        <v>0</v>
      </c>
      <c r="E181" s="350">
        <f t="shared" si="19"/>
        <v>0</v>
      </c>
      <c r="F181" s="614">
        <f>'Membership Record'!H182+'Membership Record'!Q182</f>
        <v>0</v>
      </c>
      <c r="G181" s="615">
        <f t="shared" si="20"/>
        <v>0</v>
      </c>
      <c r="H181" s="614">
        <f>'Membership Record'!I182+'Membership Record'!R182</f>
        <v>0</v>
      </c>
      <c r="I181" s="616">
        <f t="shared" si="21"/>
        <v>0</v>
      </c>
      <c r="J181" s="614">
        <f>'Membership Record'!J182+'Membership Record'!S182</f>
        <v>0</v>
      </c>
      <c r="K181" s="618">
        <f t="shared" si="22"/>
        <v>0</v>
      </c>
      <c r="L181" s="618">
        <f>'Membership Record'!K182+'Membership Record'!T182</f>
        <v>0</v>
      </c>
      <c r="M181" s="615">
        <f t="shared" si="23"/>
        <v>0</v>
      </c>
      <c r="N181" s="614">
        <f>'Membership Record'!L182+'Membership Record'!U182</f>
        <v>0</v>
      </c>
      <c r="O181" s="619">
        <f t="shared" si="24"/>
        <v>0</v>
      </c>
      <c r="P181" s="346"/>
      <c r="Q181" s="93"/>
      <c r="R181" s="94"/>
      <c r="S181" s="94"/>
      <c r="T181" s="330"/>
      <c r="U181" s="347"/>
      <c r="V181" s="92"/>
      <c r="W181" s="94"/>
      <c r="X181" s="95"/>
      <c r="Y181" s="95"/>
      <c r="Z181" s="95"/>
      <c r="AA181" s="94"/>
      <c r="AB181" s="346"/>
      <c r="AC181" s="93"/>
      <c r="AD181" s="94"/>
      <c r="AE181" s="94"/>
      <c r="AF181" s="330"/>
      <c r="AG181" s="347"/>
      <c r="AH181" s="92"/>
      <c r="AI181" s="94"/>
      <c r="AJ181" s="95"/>
      <c r="AK181" s="95"/>
      <c r="AL181" s="95"/>
      <c r="AM181" s="94"/>
      <c r="AN181" s="346"/>
      <c r="AO181" s="93"/>
      <c r="AP181" s="94"/>
      <c r="AQ181" s="94"/>
      <c r="AR181" s="330"/>
      <c r="AS181" s="347"/>
      <c r="AT181" s="92"/>
      <c r="AU181" s="94"/>
      <c r="AV181" s="95"/>
      <c r="AW181" s="95"/>
      <c r="AX181" s="95"/>
      <c r="AY181" s="94"/>
      <c r="AZ181" s="346"/>
      <c r="BA181" s="93"/>
      <c r="BB181" s="94"/>
      <c r="BC181" s="94"/>
      <c r="BD181" s="330"/>
      <c r="BE181" s="347"/>
      <c r="BF181" s="92"/>
      <c r="BG181" s="94"/>
      <c r="BH181" s="95"/>
      <c r="BI181" s="95"/>
      <c r="BJ181" s="95"/>
      <c r="BK181" s="94"/>
      <c r="BL181" s="346"/>
      <c r="BM181" s="93"/>
      <c r="BN181" s="94"/>
      <c r="BO181" s="94"/>
      <c r="BP181" s="330"/>
      <c r="BQ181" s="347"/>
      <c r="BR181" s="92"/>
      <c r="BS181" s="94"/>
      <c r="BT181" s="95"/>
      <c r="BU181" s="95"/>
      <c r="BV181" s="95"/>
      <c r="BW181" s="94"/>
      <c r="BX181" s="346"/>
      <c r="BY181" s="93"/>
      <c r="BZ181" s="94"/>
      <c r="CA181" s="94"/>
      <c r="CB181" s="330"/>
      <c r="CC181" s="347"/>
      <c r="CD181" s="92"/>
      <c r="CE181" s="94"/>
      <c r="CF181" s="95"/>
      <c r="CG181" s="95"/>
      <c r="CH181" s="95"/>
      <c r="CI181" s="94"/>
    </row>
    <row r="182" spans="1:87" x14ac:dyDescent="0.2">
      <c r="A182" s="8">
        <v>173</v>
      </c>
      <c r="B182" s="1125">
        <f>'Membership Record'!B183</f>
        <v>0</v>
      </c>
      <c r="C182" s="1125"/>
      <c r="D182" s="87">
        <f>'Membership Record'!G183+'Membership Record'!P183</f>
        <v>0</v>
      </c>
      <c r="E182" s="350">
        <f t="shared" si="19"/>
        <v>0</v>
      </c>
      <c r="F182" s="614">
        <f>'Membership Record'!H183+'Membership Record'!Q183</f>
        <v>0</v>
      </c>
      <c r="G182" s="615">
        <f t="shared" si="20"/>
        <v>0</v>
      </c>
      <c r="H182" s="614">
        <f>'Membership Record'!I183+'Membership Record'!R183</f>
        <v>0</v>
      </c>
      <c r="I182" s="616">
        <f t="shared" si="21"/>
        <v>0</v>
      </c>
      <c r="J182" s="614">
        <f>'Membership Record'!J183+'Membership Record'!S183</f>
        <v>0</v>
      </c>
      <c r="K182" s="618">
        <f t="shared" si="22"/>
        <v>0</v>
      </c>
      <c r="L182" s="618">
        <f>'Membership Record'!K183+'Membership Record'!T183</f>
        <v>0</v>
      </c>
      <c r="M182" s="615">
        <f t="shared" si="23"/>
        <v>0</v>
      </c>
      <c r="N182" s="614">
        <f>'Membership Record'!L183+'Membership Record'!U183</f>
        <v>0</v>
      </c>
      <c r="O182" s="619">
        <f t="shared" si="24"/>
        <v>0</v>
      </c>
      <c r="P182" s="346"/>
      <c r="Q182" s="93"/>
      <c r="R182" s="94"/>
      <c r="S182" s="94"/>
      <c r="T182" s="330"/>
      <c r="U182" s="347"/>
      <c r="V182" s="92"/>
      <c r="W182" s="94"/>
      <c r="X182" s="95"/>
      <c r="Y182" s="95"/>
      <c r="Z182" s="95"/>
      <c r="AA182" s="94"/>
      <c r="AB182" s="346"/>
      <c r="AC182" s="93"/>
      <c r="AD182" s="94"/>
      <c r="AE182" s="94"/>
      <c r="AF182" s="330"/>
      <c r="AG182" s="347"/>
      <c r="AH182" s="92"/>
      <c r="AI182" s="94"/>
      <c r="AJ182" s="95"/>
      <c r="AK182" s="95"/>
      <c r="AL182" s="95"/>
      <c r="AM182" s="94"/>
      <c r="AN182" s="346"/>
      <c r="AO182" s="93"/>
      <c r="AP182" s="94"/>
      <c r="AQ182" s="94"/>
      <c r="AR182" s="330"/>
      <c r="AS182" s="347"/>
      <c r="AT182" s="92"/>
      <c r="AU182" s="94"/>
      <c r="AV182" s="95"/>
      <c r="AW182" s="95"/>
      <c r="AX182" s="95"/>
      <c r="AY182" s="94"/>
      <c r="AZ182" s="346"/>
      <c r="BA182" s="93"/>
      <c r="BB182" s="94"/>
      <c r="BC182" s="94"/>
      <c r="BD182" s="330"/>
      <c r="BE182" s="347"/>
      <c r="BF182" s="92"/>
      <c r="BG182" s="94"/>
      <c r="BH182" s="95"/>
      <c r="BI182" s="95"/>
      <c r="BJ182" s="95"/>
      <c r="BK182" s="94"/>
      <c r="BL182" s="346"/>
      <c r="BM182" s="93"/>
      <c r="BN182" s="94"/>
      <c r="BO182" s="94"/>
      <c r="BP182" s="330"/>
      <c r="BQ182" s="347"/>
      <c r="BR182" s="92"/>
      <c r="BS182" s="94"/>
      <c r="BT182" s="95"/>
      <c r="BU182" s="95"/>
      <c r="BV182" s="95"/>
      <c r="BW182" s="94"/>
      <c r="BX182" s="346"/>
      <c r="BY182" s="93"/>
      <c r="BZ182" s="94"/>
      <c r="CA182" s="94"/>
      <c r="CB182" s="330"/>
      <c r="CC182" s="347"/>
      <c r="CD182" s="92"/>
      <c r="CE182" s="94"/>
      <c r="CF182" s="95"/>
      <c r="CG182" s="95"/>
      <c r="CH182" s="95"/>
      <c r="CI182" s="94"/>
    </row>
    <row r="183" spans="1:87" x14ac:dyDescent="0.2">
      <c r="A183" s="8">
        <v>174</v>
      </c>
      <c r="B183" s="1125">
        <f>'Membership Record'!B184</f>
        <v>0</v>
      </c>
      <c r="C183" s="1125"/>
      <c r="D183" s="87">
        <f>'Membership Record'!G184+'Membership Record'!P184</f>
        <v>0</v>
      </c>
      <c r="E183" s="350">
        <f t="shared" si="19"/>
        <v>0</v>
      </c>
      <c r="F183" s="614">
        <f>'Membership Record'!H184+'Membership Record'!Q184</f>
        <v>0</v>
      </c>
      <c r="G183" s="615">
        <f t="shared" si="20"/>
        <v>0</v>
      </c>
      <c r="H183" s="614">
        <f>'Membership Record'!I184+'Membership Record'!R184</f>
        <v>0</v>
      </c>
      <c r="I183" s="616">
        <f t="shared" si="21"/>
        <v>0</v>
      </c>
      <c r="J183" s="614">
        <f>'Membership Record'!J184+'Membership Record'!S184</f>
        <v>0</v>
      </c>
      <c r="K183" s="618">
        <f t="shared" si="22"/>
        <v>0</v>
      </c>
      <c r="L183" s="618">
        <f>'Membership Record'!K184+'Membership Record'!T184</f>
        <v>0</v>
      </c>
      <c r="M183" s="615">
        <f t="shared" si="23"/>
        <v>0</v>
      </c>
      <c r="N183" s="614">
        <f>'Membership Record'!L184+'Membership Record'!U184</f>
        <v>0</v>
      </c>
      <c r="O183" s="619">
        <f t="shared" si="24"/>
        <v>0</v>
      </c>
      <c r="P183" s="346"/>
      <c r="Q183" s="93"/>
      <c r="R183" s="94"/>
      <c r="S183" s="94"/>
      <c r="T183" s="330"/>
      <c r="U183" s="347"/>
      <c r="V183" s="92"/>
      <c r="W183" s="94"/>
      <c r="X183" s="95"/>
      <c r="Y183" s="95"/>
      <c r="Z183" s="95"/>
      <c r="AA183" s="94"/>
      <c r="AB183" s="346"/>
      <c r="AC183" s="93"/>
      <c r="AD183" s="94"/>
      <c r="AE183" s="94"/>
      <c r="AF183" s="330"/>
      <c r="AG183" s="347"/>
      <c r="AH183" s="92"/>
      <c r="AI183" s="94"/>
      <c r="AJ183" s="95"/>
      <c r="AK183" s="95"/>
      <c r="AL183" s="95"/>
      <c r="AM183" s="94"/>
      <c r="AN183" s="346"/>
      <c r="AO183" s="93"/>
      <c r="AP183" s="94"/>
      <c r="AQ183" s="94"/>
      <c r="AR183" s="330"/>
      <c r="AS183" s="347"/>
      <c r="AT183" s="92"/>
      <c r="AU183" s="94"/>
      <c r="AV183" s="95"/>
      <c r="AW183" s="95"/>
      <c r="AX183" s="95"/>
      <c r="AY183" s="94"/>
      <c r="AZ183" s="346"/>
      <c r="BA183" s="93"/>
      <c r="BB183" s="94"/>
      <c r="BC183" s="94"/>
      <c r="BD183" s="330"/>
      <c r="BE183" s="347"/>
      <c r="BF183" s="92"/>
      <c r="BG183" s="94"/>
      <c r="BH183" s="95"/>
      <c r="BI183" s="95"/>
      <c r="BJ183" s="95"/>
      <c r="BK183" s="94"/>
      <c r="BL183" s="346"/>
      <c r="BM183" s="93"/>
      <c r="BN183" s="94"/>
      <c r="BO183" s="94"/>
      <c r="BP183" s="330"/>
      <c r="BQ183" s="347"/>
      <c r="BR183" s="92"/>
      <c r="BS183" s="94"/>
      <c r="BT183" s="95"/>
      <c r="BU183" s="95"/>
      <c r="BV183" s="95"/>
      <c r="BW183" s="94"/>
      <c r="BX183" s="346"/>
      <c r="BY183" s="93"/>
      <c r="BZ183" s="94"/>
      <c r="CA183" s="94"/>
      <c r="CB183" s="330"/>
      <c r="CC183" s="347"/>
      <c r="CD183" s="92"/>
      <c r="CE183" s="94"/>
      <c r="CF183" s="95"/>
      <c r="CG183" s="95"/>
      <c r="CH183" s="95"/>
      <c r="CI183" s="94"/>
    </row>
    <row r="184" spans="1:87" x14ac:dyDescent="0.2">
      <c r="A184" s="8">
        <v>175</v>
      </c>
      <c r="B184" s="1125">
        <f>'Membership Record'!B185</f>
        <v>0</v>
      </c>
      <c r="C184" s="1125"/>
      <c r="D184" s="87">
        <f>'Membership Record'!G185+'Membership Record'!P185</f>
        <v>0</v>
      </c>
      <c r="E184" s="350">
        <f t="shared" si="19"/>
        <v>0</v>
      </c>
      <c r="F184" s="614">
        <f>'Membership Record'!H185+'Membership Record'!Q185</f>
        <v>0</v>
      </c>
      <c r="G184" s="615">
        <f t="shared" si="20"/>
        <v>0</v>
      </c>
      <c r="H184" s="614">
        <f>'Membership Record'!I185+'Membership Record'!R185</f>
        <v>0</v>
      </c>
      <c r="I184" s="616">
        <f t="shared" si="21"/>
        <v>0</v>
      </c>
      <c r="J184" s="614">
        <f>'Membership Record'!J185+'Membership Record'!S185</f>
        <v>0</v>
      </c>
      <c r="K184" s="618">
        <f t="shared" si="22"/>
        <v>0</v>
      </c>
      <c r="L184" s="618">
        <f>'Membership Record'!K185+'Membership Record'!T185</f>
        <v>0</v>
      </c>
      <c r="M184" s="615">
        <f t="shared" si="23"/>
        <v>0</v>
      </c>
      <c r="N184" s="614">
        <f>'Membership Record'!L185+'Membership Record'!U185</f>
        <v>0</v>
      </c>
      <c r="O184" s="619">
        <f t="shared" si="24"/>
        <v>0</v>
      </c>
      <c r="P184" s="346"/>
      <c r="Q184" s="93"/>
      <c r="R184" s="94"/>
      <c r="S184" s="94"/>
      <c r="T184" s="330"/>
      <c r="U184" s="347"/>
      <c r="V184" s="92"/>
      <c r="W184" s="94"/>
      <c r="X184" s="95"/>
      <c r="Y184" s="95"/>
      <c r="Z184" s="95"/>
      <c r="AA184" s="94"/>
      <c r="AB184" s="346"/>
      <c r="AC184" s="93"/>
      <c r="AD184" s="94"/>
      <c r="AE184" s="94"/>
      <c r="AF184" s="330"/>
      <c r="AG184" s="347"/>
      <c r="AH184" s="92"/>
      <c r="AI184" s="94"/>
      <c r="AJ184" s="95"/>
      <c r="AK184" s="95"/>
      <c r="AL184" s="95"/>
      <c r="AM184" s="94"/>
      <c r="AN184" s="346"/>
      <c r="AO184" s="93"/>
      <c r="AP184" s="94"/>
      <c r="AQ184" s="94"/>
      <c r="AR184" s="330"/>
      <c r="AS184" s="347"/>
      <c r="AT184" s="92"/>
      <c r="AU184" s="94"/>
      <c r="AV184" s="95"/>
      <c r="AW184" s="95"/>
      <c r="AX184" s="95"/>
      <c r="AY184" s="94"/>
      <c r="AZ184" s="346"/>
      <c r="BA184" s="93"/>
      <c r="BB184" s="94"/>
      <c r="BC184" s="94"/>
      <c r="BD184" s="330"/>
      <c r="BE184" s="347"/>
      <c r="BF184" s="92"/>
      <c r="BG184" s="94"/>
      <c r="BH184" s="95"/>
      <c r="BI184" s="95"/>
      <c r="BJ184" s="95"/>
      <c r="BK184" s="94"/>
      <c r="BL184" s="346"/>
      <c r="BM184" s="93"/>
      <c r="BN184" s="94"/>
      <c r="BO184" s="94"/>
      <c r="BP184" s="330"/>
      <c r="BQ184" s="347"/>
      <c r="BR184" s="92"/>
      <c r="BS184" s="94"/>
      <c r="BT184" s="95"/>
      <c r="BU184" s="95"/>
      <c r="BV184" s="95"/>
      <c r="BW184" s="94"/>
      <c r="BX184" s="346"/>
      <c r="BY184" s="93"/>
      <c r="BZ184" s="94"/>
      <c r="CA184" s="94"/>
      <c r="CB184" s="330"/>
      <c r="CC184" s="347"/>
      <c r="CD184" s="92"/>
      <c r="CE184" s="94"/>
      <c r="CF184" s="95"/>
      <c r="CG184" s="95"/>
      <c r="CH184" s="95"/>
      <c r="CI184" s="94"/>
    </row>
    <row r="185" spans="1:87" x14ac:dyDescent="0.2">
      <c r="A185" s="8">
        <v>176</v>
      </c>
      <c r="B185" s="1125">
        <f>'Membership Record'!B186</f>
        <v>0</v>
      </c>
      <c r="C185" s="1125"/>
      <c r="D185" s="87">
        <f>'Membership Record'!G186+'Membership Record'!P186</f>
        <v>0</v>
      </c>
      <c r="E185" s="350">
        <f t="shared" si="19"/>
        <v>0</v>
      </c>
      <c r="F185" s="614">
        <f>'Membership Record'!H186+'Membership Record'!Q186</f>
        <v>0</v>
      </c>
      <c r="G185" s="615">
        <f t="shared" si="20"/>
        <v>0</v>
      </c>
      <c r="H185" s="614">
        <f>'Membership Record'!I186+'Membership Record'!R186</f>
        <v>0</v>
      </c>
      <c r="I185" s="616">
        <f t="shared" si="21"/>
        <v>0</v>
      </c>
      <c r="J185" s="614">
        <f>'Membership Record'!J186+'Membership Record'!S186</f>
        <v>0</v>
      </c>
      <c r="K185" s="618">
        <f t="shared" si="22"/>
        <v>0</v>
      </c>
      <c r="L185" s="618">
        <f>'Membership Record'!K186+'Membership Record'!T186</f>
        <v>0</v>
      </c>
      <c r="M185" s="615">
        <f t="shared" si="23"/>
        <v>0</v>
      </c>
      <c r="N185" s="614">
        <f>'Membership Record'!L186+'Membership Record'!U186</f>
        <v>0</v>
      </c>
      <c r="O185" s="619">
        <f t="shared" si="24"/>
        <v>0</v>
      </c>
      <c r="P185" s="346"/>
      <c r="Q185" s="93"/>
      <c r="R185" s="94"/>
      <c r="S185" s="94"/>
      <c r="T185" s="330"/>
      <c r="U185" s="347"/>
      <c r="V185" s="92"/>
      <c r="W185" s="94"/>
      <c r="X185" s="95"/>
      <c r="Y185" s="95"/>
      <c r="Z185" s="95"/>
      <c r="AA185" s="94"/>
      <c r="AB185" s="346"/>
      <c r="AC185" s="93"/>
      <c r="AD185" s="94"/>
      <c r="AE185" s="94"/>
      <c r="AF185" s="330"/>
      <c r="AG185" s="347"/>
      <c r="AH185" s="92"/>
      <c r="AI185" s="94"/>
      <c r="AJ185" s="95"/>
      <c r="AK185" s="95"/>
      <c r="AL185" s="95"/>
      <c r="AM185" s="94"/>
      <c r="AN185" s="346"/>
      <c r="AO185" s="93"/>
      <c r="AP185" s="94"/>
      <c r="AQ185" s="94"/>
      <c r="AR185" s="330"/>
      <c r="AS185" s="347"/>
      <c r="AT185" s="92"/>
      <c r="AU185" s="94"/>
      <c r="AV185" s="95"/>
      <c r="AW185" s="95"/>
      <c r="AX185" s="95"/>
      <c r="AY185" s="94"/>
      <c r="AZ185" s="346"/>
      <c r="BA185" s="93"/>
      <c r="BB185" s="94"/>
      <c r="BC185" s="94"/>
      <c r="BD185" s="330"/>
      <c r="BE185" s="347"/>
      <c r="BF185" s="92"/>
      <c r="BG185" s="94"/>
      <c r="BH185" s="95"/>
      <c r="BI185" s="95"/>
      <c r="BJ185" s="95"/>
      <c r="BK185" s="94"/>
      <c r="BL185" s="346"/>
      <c r="BM185" s="93"/>
      <c r="BN185" s="94"/>
      <c r="BO185" s="94"/>
      <c r="BP185" s="330"/>
      <c r="BQ185" s="347"/>
      <c r="BR185" s="92"/>
      <c r="BS185" s="94"/>
      <c r="BT185" s="95"/>
      <c r="BU185" s="95"/>
      <c r="BV185" s="95"/>
      <c r="BW185" s="94"/>
      <c r="BX185" s="346"/>
      <c r="BY185" s="93"/>
      <c r="BZ185" s="94"/>
      <c r="CA185" s="94"/>
      <c r="CB185" s="330"/>
      <c r="CC185" s="347"/>
      <c r="CD185" s="92"/>
      <c r="CE185" s="94"/>
      <c r="CF185" s="95"/>
      <c r="CG185" s="95"/>
      <c r="CH185" s="95"/>
      <c r="CI185" s="94"/>
    </row>
    <row r="186" spans="1:87" x14ac:dyDescent="0.2">
      <c r="A186" s="8">
        <v>177</v>
      </c>
      <c r="B186" s="1125">
        <f>'Membership Record'!B187</f>
        <v>0</v>
      </c>
      <c r="C186" s="1125"/>
      <c r="D186" s="87">
        <f>'Membership Record'!G187+'Membership Record'!P187</f>
        <v>0</v>
      </c>
      <c r="E186" s="350">
        <f t="shared" si="19"/>
        <v>0</v>
      </c>
      <c r="F186" s="614">
        <f>'Membership Record'!H187+'Membership Record'!Q187</f>
        <v>0</v>
      </c>
      <c r="G186" s="615">
        <f t="shared" si="20"/>
        <v>0</v>
      </c>
      <c r="H186" s="614">
        <f>'Membership Record'!I187+'Membership Record'!R187</f>
        <v>0</v>
      </c>
      <c r="I186" s="616">
        <f t="shared" si="21"/>
        <v>0</v>
      </c>
      <c r="J186" s="614">
        <f>'Membership Record'!J187+'Membership Record'!S187</f>
        <v>0</v>
      </c>
      <c r="K186" s="618">
        <f t="shared" si="22"/>
        <v>0</v>
      </c>
      <c r="L186" s="618">
        <f>'Membership Record'!K187+'Membership Record'!T187</f>
        <v>0</v>
      </c>
      <c r="M186" s="615">
        <f t="shared" si="23"/>
        <v>0</v>
      </c>
      <c r="N186" s="614">
        <f>'Membership Record'!L187+'Membership Record'!U187</f>
        <v>0</v>
      </c>
      <c r="O186" s="619">
        <f t="shared" si="24"/>
        <v>0</v>
      </c>
      <c r="P186" s="346"/>
      <c r="Q186" s="93"/>
      <c r="R186" s="94"/>
      <c r="S186" s="94"/>
      <c r="T186" s="330"/>
      <c r="U186" s="347"/>
      <c r="V186" s="92"/>
      <c r="W186" s="94"/>
      <c r="X186" s="95"/>
      <c r="Y186" s="95"/>
      <c r="Z186" s="95"/>
      <c r="AA186" s="94"/>
      <c r="AB186" s="346"/>
      <c r="AC186" s="93"/>
      <c r="AD186" s="94"/>
      <c r="AE186" s="94"/>
      <c r="AF186" s="330"/>
      <c r="AG186" s="347"/>
      <c r="AH186" s="92"/>
      <c r="AI186" s="94"/>
      <c r="AJ186" s="95"/>
      <c r="AK186" s="95"/>
      <c r="AL186" s="95"/>
      <c r="AM186" s="94"/>
      <c r="AN186" s="346"/>
      <c r="AO186" s="93"/>
      <c r="AP186" s="94"/>
      <c r="AQ186" s="94"/>
      <c r="AR186" s="330"/>
      <c r="AS186" s="347"/>
      <c r="AT186" s="92"/>
      <c r="AU186" s="94"/>
      <c r="AV186" s="95"/>
      <c r="AW186" s="95"/>
      <c r="AX186" s="95"/>
      <c r="AY186" s="94"/>
      <c r="AZ186" s="346"/>
      <c r="BA186" s="93"/>
      <c r="BB186" s="94"/>
      <c r="BC186" s="94"/>
      <c r="BD186" s="330"/>
      <c r="BE186" s="347"/>
      <c r="BF186" s="92"/>
      <c r="BG186" s="94"/>
      <c r="BH186" s="95"/>
      <c r="BI186" s="95"/>
      <c r="BJ186" s="95"/>
      <c r="BK186" s="94"/>
      <c r="BL186" s="346"/>
      <c r="BM186" s="93"/>
      <c r="BN186" s="94"/>
      <c r="BO186" s="94"/>
      <c r="BP186" s="330"/>
      <c r="BQ186" s="347"/>
      <c r="BR186" s="92"/>
      <c r="BS186" s="94"/>
      <c r="BT186" s="95"/>
      <c r="BU186" s="95"/>
      <c r="BV186" s="95"/>
      <c r="BW186" s="94"/>
      <c r="BX186" s="346"/>
      <c r="BY186" s="93"/>
      <c r="BZ186" s="94"/>
      <c r="CA186" s="94"/>
      <c r="CB186" s="330"/>
      <c r="CC186" s="347"/>
      <c r="CD186" s="92"/>
      <c r="CE186" s="94"/>
      <c r="CF186" s="95"/>
      <c r="CG186" s="95"/>
      <c r="CH186" s="95"/>
      <c r="CI186" s="94"/>
    </row>
    <row r="187" spans="1:87" x14ac:dyDescent="0.2">
      <c r="A187" s="8">
        <v>178</v>
      </c>
      <c r="B187" s="1125">
        <f>'Membership Record'!B188</f>
        <v>0</v>
      </c>
      <c r="C187" s="1125"/>
      <c r="D187" s="87">
        <f>'Membership Record'!G188+'Membership Record'!P188</f>
        <v>0</v>
      </c>
      <c r="E187" s="350">
        <f t="shared" si="19"/>
        <v>0</v>
      </c>
      <c r="F187" s="614">
        <f>'Membership Record'!H188+'Membership Record'!Q188</f>
        <v>0</v>
      </c>
      <c r="G187" s="615">
        <f t="shared" si="20"/>
        <v>0</v>
      </c>
      <c r="H187" s="614">
        <f>'Membership Record'!I188+'Membership Record'!R188</f>
        <v>0</v>
      </c>
      <c r="I187" s="616">
        <f t="shared" si="21"/>
        <v>0</v>
      </c>
      <c r="J187" s="614">
        <f>'Membership Record'!J188+'Membership Record'!S188</f>
        <v>0</v>
      </c>
      <c r="K187" s="618">
        <f t="shared" si="22"/>
        <v>0</v>
      </c>
      <c r="L187" s="618">
        <f>'Membership Record'!K188+'Membership Record'!T188</f>
        <v>0</v>
      </c>
      <c r="M187" s="615">
        <f t="shared" si="23"/>
        <v>0</v>
      </c>
      <c r="N187" s="614">
        <f>'Membership Record'!L188+'Membership Record'!U188</f>
        <v>0</v>
      </c>
      <c r="O187" s="619">
        <f t="shared" si="24"/>
        <v>0</v>
      </c>
      <c r="P187" s="346"/>
      <c r="Q187" s="93"/>
      <c r="R187" s="94"/>
      <c r="S187" s="94"/>
      <c r="T187" s="330"/>
      <c r="U187" s="347"/>
      <c r="V187" s="92"/>
      <c r="W187" s="94"/>
      <c r="X187" s="95"/>
      <c r="Y187" s="95"/>
      <c r="Z187" s="95"/>
      <c r="AA187" s="94"/>
      <c r="AB187" s="346"/>
      <c r="AC187" s="93"/>
      <c r="AD187" s="94"/>
      <c r="AE187" s="94"/>
      <c r="AF187" s="330"/>
      <c r="AG187" s="347"/>
      <c r="AH187" s="92"/>
      <c r="AI187" s="94"/>
      <c r="AJ187" s="95"/>
      <c r="AK187" s="95"/>
      <c r="AL187" s="95"/>
      <c r="AM187" s="94"/>
      <c r="AN187" s="346"/>
      <c r="AO187" s="93"/>
      <c r="AP187" s="94"/>
      <c r="AQ187" s="94"/>
      <c r="AR187" s="330"/>
      <c r="AS187" s="347"/>
      <c r="AT187" s="92"/>
      <c r="AU187" s="94"/>
      <c r="AV187" s="95"/>
      <c r="AW187" s="95"/>
      <c r="AX187" s="95"/>
      <c r="AY187" s="94"/>
      <c r="AZ187" s="346"/>
      <c r="BA187" s="93"/>
      <c r="BB187" s="94"/>
      <c r="BC187" s="94"/>
      <c r="BD187" s="330"/>
      <c r="BE187" s="347"/>
      <c r="BF187" s="92"/>
      <c r="BG187" s="94"/>
      <c r="BH187" s="95"/>
      <c r="BI187" s="95"/>
      <c r="BJ187" s="95"/>
      <c r="BK187" s="94"/>
      <c r="BL187" s="346"/>
      <c r="BM187" s="93"/>
      <c r="BN187" s="94"/>
      <c r="BO187" s="94"/>
      <c r="BP187" s="330"/>
      <c r="BQ187" s="347"/>
      <c r="BR187" s="92"/>
      <c r="BS187" s="94"/>
      <c r="BT187" s="95"/>
      <c r="BU187" s="95"/>
      <c r="BV187" s="95"/>
      <c r="BW187" s="94"/>
      <c r="BX187" s="346"/>
      <c r="BY187" s="93"/>
      <c r="BZ187" s="94"/>
      <c r="CA187" s="94"/>
      <c r="CB187" s="330"/>
      <c r="CC187" s="347"/>
      <c r="CD187" s="92"/>
      <c r="CE187" s="94"/>
      <c r="CF187" s="95"/>
      <c r="CG187" s="95"/>
      <c r="CH187" s="95"/>
      <c r="CI187" s="94"/>
    </row>
    <row r="188" spans="1:87" x14ac:dyDescent="0.2">
      <c r="A188" s="8">
        <v>179</v>
      </c>
      <c r="B188" s="1125">
        <f>'Membership Record'!B189</f>
        <v>0</v>
      </c>
      <c r="C188" s="1125"/>
      <c r="D188" s="87">
        <f>'Membership Record'!G189+'Membership Record'!P189</f>
        <v>0</v>
      </c>
      <c r="E188" s="350">
        <f t="shared" si="19"/>
        <v>0</v>
      </c>
      <c r="F188" s="614">
        <f>'Membership Record'!H189+'Membership Record'!Q189</f>
        <v>0</v>
      </c>
      <c r="G188" s="615">
        <f t="shared" si="20"/>
        <v>0</v>
      </c>
      <c r="H188" s="614">
        <f>'Membership Record'!I189+'Membership Record'!R189</f>
        <v>0</v>
      </c>
      <c r="I188" s="616">
        <f t="shared" si="21"/>
        <v>0</v>
      </c>
      <c r="J188" s="614">
        <f>'Membership Record'!J189+'Membership Record'!S189</f>
        <v>0</v>
      </c>
      <c r="K188" s="618">
        <f t="shared" si="22"/>
        <v>0</v>
      </c>
      <c r="L188" s="618">
        <f>'Membership Record'!K189+'Membership Record'!T189</f>
        <v>0</v>
      </c>
      <c r="M188" s="615">
        <f t="shared" si="23"/>
        <v>0</v>
      </c>
      <c r="N188" s="614">
        <f>'Membership Record'!L189+'Membership Record'!U189</f>
        <v>0</v>
      </c>
      <c r="O188" s="619">
        <f t="shared" si="24"/>
        <v>0</v>
      </c>
      <c r="P188" s="346"/>
      <c r="Q188" s="93"/>
      <c r="R188" s="94"/>
      <c r="S188" s="94"/>
      <c r="T188" s="330"/>
      <c r="U188" s="347"/>
      <c r="V188" s="92"/>
      <c r="W188" s="94"/>
      <c r="X188" s="95"/>
      <c r="Y188" s="95"/>
      <c r="Z188" s="95"/>
      <c r="AA188" s="94"/>
      <c r="AB188" s="346"/>
      <c r="AC188" s="93"/>
      <c r="AD188" s="94"/>
      <c r="AE188" s="94"/>
      <c r="AF188" s="330"/>
      <c r="AG188" s="347"/>
      <c r="AH188" s="92"/>
      <c r="AI188" s="94"/>
      <c r="AJ188" s="95"/>
      <c r="AK188" s="95"/>
      <c r="AL188" s="95"/>
      <c r="AM188" s="94"/>
      <c r="AN188" s="346"/>
      <c r="AO188" s="93"/>
      <c r="AP188" s="94"/>
      <c r="AQ188" s="94"/>
      <c r="AR188" s="330"/>
      <c r="AS188" s="347"/>
      <c r="AT188" s="92"/>
      <c r="AU188" s="94"/>
      <c r="AV188" s="95"/>
      <c r="AW188" s="95"/>
      <c r="AX188" s="95"/>
      <c r="AY188" s="94"/>
      <c r="AZ188" s="346"/>
      <c r="BA188" s="93"/>
      <c r="BB188" s="94"/>
      <c r="BC188" s="94"/>
      <c r="BD188" s="330"/>
      <c r="BE188" s="347"/>
      <c r="BF188" s="92"/>
      <c r="BG188" s="94"/>
      <c r="BH188" s="95"/>
      <c r="BI188" s="95"/>
      <c r="BJ188" s="95"/>
      <c r="BK188" s="94"/>
      <c r="BL188" s="346"/>
      <c r="BM188" s="93"/>
      <c r="BN188" s="94"/>
      <c r="BO188" s="94"/>
      <c r="BP188" s="330"/>
      <c r="BQ188" s="347"/>
      <c r="BR188" s="92"/>
      <c r="BS188" s="94"/>
      <c r="BT188" s="95"/>
      <c r="BU188" s="95"/>
      <c r="BV188" s="95"/>
      <c r="BW188" s="94"/>
      <c r="BX188" s="346"/>
      <c r="BY188" s="93"/>
      <c r="BZ188" s="94"/>
      <c r="CA188" s="94"/>
      <c r="CB188" s="330"/>
      <c r="CC188" s="347"/>
      <c r="CD188" s="92"/>
      <c r="CE188" s="94"/>
      <c r="CF188" s="95"/>
      <c r="CG188" s="95"/>
      <c r="CH188" s="95"/>
      <c r="CI188" s="94"/>
    </row>
    <row r="189" spans="1:87" x14ac:dyDescent="0.2">
      <c r="A189" s="8">
        <v>180</v>
      </c>
      <c r="B189" s="1125">
        <f>'Membership Record'!B190</f>
        <v>0</v>
      </c>
      <c r="C189" s="1125"/>
      <c r="D189" s="87">
        <f>'Membership Record'!G190+'Membership Record'!P190</f>
        <v>0</v>
      </c>
      <c r="E189" s="350">
        <f t="shared" si="19"/>
        <v>0</v>
      </c>
      <c r="F189" s="614">
        <f>'Membership Record'!H190+'Membership Record'!Q190</f>
        <v>0</v>
      </c>
      <c r="G189" s="615">
        <f t="shared" si="20"/>
        <v>0</v>
      </c>
      <c r="H189" s="614">
        <f>'Membership Record'!I190+'Membership Record'!R190</f>
        <v>0</v>
      </c>
      <c r="I189" s="616">
        <f t="shared" si="21"/>
        <v>0</v>
      </c>
      <c r="J189" s="614">
        <f>'Membership Record'!J190+'Membership Record'!S190</f>
        <v>0</v>
      </c>
      <c r="K189" s="618">
        <f t="shared" si="22"/>
        <v>0</v>
      </c>
      <c r="L189" s="618">
        <f>'Membership Record'!K190+'Membership Record'!T190</f>
        <v>0</v>
      </c>
      <c r="M189" s="615">
        <f t="shared" si="23"/>
        <v>0</v>
      </c>
      <c r="N189" s="614">
        <f>'Membership Record'!L190+'Membership Record'!U190</f>
        <v>0</v>
      </c>
      <c r="O189" s="619">
        <f t="shared" si="24"/>
        <v>0</v>
      </c>
      <c r="P189" s="346"/>
      <c r="Q189" s="93"/>
      <c r="R189" s="94"/>
      <c r="S189" s="94"/>
      <c r="T189" s="330"/>
      <c r="U189" s="347"/>
      <c r="V189" s="92"/>
      <c r="W189" s="94"/>
      <c r="X189" s="95"/>
      <c r="Y189" s="95"/>
      <c r="Z189" s="95"/>
      <c r="AA189" s="94"/>
      <c r="AB189" s="346"/>
      <c r="AC189" s="93"/>
      <c r="AD189" s="94"/>
      <c r="AE189" s="94"/>
      <c r="AF189" s="330"/>
      <c r="AG189" s="347"/>
      <c r="AH189" s="92"/>
      <c r="AI189" s="94"/>
      <c r="AJ189" s="95"/>
      <c r="AK189" s="95"/>
      <c r="AL189" s="95"/>
      <c r="AM189" s="94"/>
      <c r="AN189" s="346"/>
      <c r="AO189" s="93"/>
      <c r="AP189" s="94"/>
      <c r="AQ189" s="94"/>
      <c r="AR189" s="330"/>
      <c r="AS189" s="347"/>
      <c r="AT189" s="92"/>
      <c r="AU189" s="94"/>
      <c r="AV189" s="95"/>
      <c r="AW189" s="95"/>
      <c r="AX189" s="95"/>
      <c r="AY189" s="94"/>
      <c r="AZ189" s="346"/>
      <c r="BA189" s="93"/>
      <c r="BB189" s="94"/>
      <c r="BC189" s="94"/>
      <c r="BD189" s="330"/>
      <c r="BE189" s="347"/>
      <c r="BF189" s="92"/>
      <c r="BG189" s="94"/>
      <c r="BH189" s="95"/>
      <c r="BI189" s="95"/>
      <c r="BJ189" s="95"/>
      <c r="BK189" s="94"/>
      <c r="BL189" s="346"/>
      <c r="BM189" s="93"/>
      <c r="BN189" s="94"/>
      <c r="BO189" s="94"/>
      <c r="BP189" s="330"/>
      <c r="BQ189" s="347"/>
      <c r="BR189" s="92"/>
      <c r="BS189" s="94"/>
      <c r="BT189" s="95"/>
      <c r="BU189" s="95"/>
      <c r="BV189" s="95"/>
      <c r="BW189" s="94"/>
      <c r="BX189" s="346"/>
      <c r="BY189" s="93"/>
      <c r="BZ189" s="94"/>
      <c r="CA189" s="94"/>
      <c r="CB189" s="330"/>
      <c r="CC189" s="347"/>
      <c r="CD189" s="92"/>
      <c r="CE189" s="94"/>
      <c r="CF189" s="95"/>
      <c r="CG189" s="95"/>
      <c r="CH189" s="95"/>
      <c r="CI189" s="94"/>
    </row>
    <row r="190" spans="1:87" x14ac:dyDescent="0.2">
      <c r="A190" s="8">
        <v>181</v>
      </c>
      <c r="B190" s="1125">
        <f>'Membership Record'!B191</f>
        <v>0</v>
      </c>
      <c r="C190" s="1125"/>
      <c r="D190" s="87">
        <f>'Membership Record'!G191+'Membership Record'!P191</f>
        <v>0</v>
      </c>
      <c r="E190" s="350">
        <f t="shared" si="19"/>
        <v>0</v>
      </c>
      <c r="F190" s="614">
        <f>'Membership Record'!H191+'Membership Record'!Q191</f>
        <v>0</v>
      </c>
      <c r="G190" s="615">
        <f t="shared" si="20"/>
        <v>0</v>
      </c>
      <c r="H190" s="614">
        <f>'Membership Record'!I191+'Membership Record'!R191</f>
        <v>0</v>
      </c>
      <c r="I190" s="616">
        <f t="shared" si="21"/>
        <v>0</v>
      </c>
      <c r="J190" s="614">
        <f>'Membership Record'!J191+'Membership Record'!S191</f>
        <v>0</v>
      </c>
      <c r="K190" s="618">
        <f t="shared" si="22"/>
        <v>0</v>
      </c>
      <c r="L190" s="618">
        <f>'Membership Record'!K191+'Membership Record'!T191</f>
        <v>0</v>
      </c>
      <c r="M190" s="615">
        <f t="shared" si="23"/>
        <v>0</v>
      </c>
      <c r="N190" s="614">
        <f>'Membership Record'!L191+'Membership Record'!U191</f>
        <v>0</v>
      </c>
      <c r="O190" s="619">
        <f t="shared" si="24"/>
        <v>0</v>
      </c>
      <c r="P190" s="346"/>
      <c r="Q190" s="93"/>
      <c r="R190" s="94"/>
      <c r="S190" s="94"/>
      <c r="T190" s="330"/>
      <c r="U190" s="347"/>
      <c r="V190" s="92"/>
      <c r="W190" s="94"/>
      <c r="X190" s="95"/>
      <c r="Y190" s="95"/>
      <c r="Z190" s="95"/>
      <c r="AA190" s="94"/>
      <c r="AB190" s="346"/>
      <c r="AC190" s="93"/>
      <c r="AD190" s="94"/>
      <c r="AE190" s="94"/>
      <c r="AF190" s="330"/>
      <c r="AG190" s="347"/>
      <c r="AH190" s="92"/>
      <c r="AI190" s="94"/>
      <c r="AJ190" s="95"/>
      <c r="AK190" s="95"/>
      <c r="AL190" s="95"/>
      <c r="AM190" s="94"/>
      <c r="AN190" s="346"/>
      <c r="AO190" s="93"/>
      <c r="AP190" s="94"/>
      <c r="AQ190" s="94"/>
      <c r="AR190" s="330"/>
      <c r="AS190" s="347"/>
      <c r="AT190" s="92"/>
      <c r="AU190" s="94"/>
      <c r="AV190" s="95"/>
      <c r="AW190" s="95"/>
      <c r="AX190" s="95"/>
      <c r="AY190" s="94"/>
      <c r="AZ190" s="346"/>
      <c r="BA190" s="93"/>
      <c r="BB190" s="94"/>
      <c r="BC190" s="94"/>
      <c r="BD190" s="330"/>
      <c r="BE190" s="347"/>
      <c r="BF190" s="92"/>
      <c r="BG190" s="94"/>
      <c r="BH190" s="95"/>
      <c r="BI190" s="95"/>
      <c r="BJ190" s="95"/>
      <c r="BK190" s="94"/>
      <c r="BL190" s="346"/>
      <c r="BM190" s="93"/>
      <c r="BN190" s="94"/>
      <c r="BO190" s="94"/>
      <c r="BP190" s="330"/>
      <c r="BQ190" s="347"/>
      <c r="BR190" s="92"/>
      <c r="BS190" s="94"/>
      <c r="BT190" s="95"/>
      <c r="BU190" s="95"/>
      <c r="BV190" s="95"/>
      <c r="BW190" s="94"/>
      <c r="BX190" s="346"/>
      <c r="BY190" s="93"/>
      <c r="BZ190" s="94"/>
      <c r="CA190" s="94"/>
      <c r="CB190" s="330"/>
      <c r="CC190" s="347"/>
      <c r="CD190" s="92"/>
      <c r="CE190" s="94"/>
      <c r="CF190" s="95"/>
      <c r="CG190" s="95"/>
      <c r="CH190" s="95"/>
      <c r="CI190" s="94"/>
    </row>
    <row r="191" spans="1:87" x14ac:dyDescent="0.2">
      <c r="A191" s="8">
        <v>182</v>
      </c>
      <c r="B191" s="1125">
        <f>'Membership Record'!B192</f>
        <v>0</v>
      </c>
      <c r="C191" s="1125"/>
      <c r="D191" s="87">
        <f>'Membership Record'!G192+'Membership Record'!P192</f>
        <v>0</v>
      </c>
      <c r="E191" s="350">
        <f t="shared" si="19"/>
        <v>0</v>
      </c>
      <c r="F191" s="614">
        <f>'Membership Record'!H192+'Membership Record'!Q192</f>
        <v>0</v>
      </c>
      <c r="G191" s="615">
        <f t="shared" si="20"/>
        <v>0</v>
      </c>
      <c r="H191" s="614">
        <f>'Membership Record'!I192+'Membership Record'!R192</f>
        <v>0</v>
      </c>
      <c r="I191" s="616">
        <f t="shared" si="21"/>
        <v>0</v>
      </c>
      <c r="J191" s="614">
        <f>'Membership Record'!J192+'Membership Record'!S192</f>
        <v>0</v>
      </c>
      <c r="K191" s="618">
        <f t="shared" si="22"/>
        <v>0</v>
      </c>
      <c r="L191" s="618">
        <f>'Membership Record'!K192+'Membership Record'!T192</f>
        <v>0</v>
      </c>
      <c r="M191" s="615">
        <f t="shared" si="23"/>
        <v>0</v>
      </c>
      <c r="N191" s="614">
        <f>'Membership Record'!L192+'Membership Record'!U192</f>
        <v>0</v>
      </c>
      <c r="O191" s="619">
        <f t="shared" si="24"/>
        <v>0</v>
      </c>
      <c r="P191" s="346"/>
      <c r="Q191" s="93"/>
      <c r="R191" s="94"/>
      <c r="S191" s="94"/>
      <c r="T191" s="330"/>
      <c r="U191" s="347"/>
      <c r="V191" s="92"/>
      <c r="W191" s="94"/>
      <c r="X191" s="95"/>
      <c r="Y191" s="95"/>
      <c r="Z191" s="95"/>
      <c r="AA191" s="94"/>
      <c r="AB191" s="346"/>
      <c r="AC191" s="93"/>
      <c r="AD191" s="94"/>
      <c r="AE191" s="94"/>
      <c r="AF191" s="330"/>
      <c r="AG191" s="347"/>
      <c r="AH191" s="92"/>
      <c r="AI191" s="94"/>
      <c r="AJ191" s="95"/>
      <c r="AK191" s="95"/>
      <c r="AL191" s="95"/>
      <c r="AM191" s="94"/>
      <c r="AN191" s="346"/>
      <c r="AO191" s="93"/>
      <c r="AP191" s="94"/>
      <c r="AQ191" s="94"/>
      <c r="AR191" s="330"/>
      <c r="AS191" s="347"/>
      <c r="AT191" s="92"/>
      <c r="AU191" s="94"/>
      <c r="AV191" s="95"/>
      <c r="AW191" s="95"/>
      <c r="AX191" s="95"/>
      <c r="AY191" s="94"/>
      <c r="AZ191" s="346"/>
      <c r="BA191" s="93"/>
      <c r="BB191" s="94"/>
      <c r="BC191" s="94"/>
      <c r="BD191" s="330"/>
      <c r="BE191" s="347"/>
      <c r="BF191" s="92"/>
      <c r="BG191" s="94"/>
      <c r="BH191" s="95"/>
      <c r="BI191" s="95"/>
      <c r="BJ191" s="95"/>
      <c r="BK191" s="94"/>
      <c r="BL191" s="346"/>
      <c r="BM191" s="93"/>
      <c r="BN191" s="94"/>
      <c r="BO191" s="94"/>
      <c r="BP191" s="330"/>
      <c r="BQ191" s="347"/>
      <c r="BR191" s="92"/>
      <c r="BS191" s="94"/>
      <c r="BT191" s="95"/>
      <c r="BU191" s="95"/>
      <c r="BV191" s="95"/>
      <c r="BW191" s="94"/>
      <c r="BX191" s="346"/>
      <c r="BY191" s="93"/>
      <c r="BZ191" s="94"/>
      <c r="CA191" s="94"/>
      <c r="CB191" s="330"/>
      <c r="CC191" s="347"/>
      <c r="CD191" s="92"/>
      <c r="CE191" s="94"/>
      <c r="CF191" s="95"/>
      <c r="CG191" s="95"/>
      <c r="CH191" s="95"/>
      <c r="CI191" s="94"/>
    </row>
    <row r="192" spans="1:87" x14ac:dyDescent="0.2">
      <c r="A192" s="8">
        <v>183</v>
      </c>
      <c r="B192" s="1125">
        <f>'Membership Record'!B193</f>
        <v>0</v>
      </c>
      <c r="C192" s="1125"/>
      <c r="D192" s="87">
        <f>'Membership Record'!G193+'Membership Record'!P193</f>
        <v>0</v>
      </c>
      <c r="E192" s="350">
        <f t="shared" si="19"/>
        <v>0</v>
      </c>
      <c r="F192" s="614">
        <f>'Membership Record'!H193+'Membership Record'!Q193</f>
        <v>0</v>
      </c>
      <c r="G192" s="615">
        <f t="shared" si="20"/>
        <v>0</v>
      </c>
      <c r="H192" s="614">
        <f>'Membership Record'!I193+'Membership Record'!R193</f>
        <v>0</v>
      </c>
      <c r="I192" s="616">
        <f t="shared" si="21"/>
        <v>0</v>
      </c>
      <c r="J192" s="614">
        <f>'Membership Record'!J193+'Membership Record'!S193</f>
        <v>0</v>
      </c>
      <c r="K192" s="618">
        <f t="shared" si="22"/>
        <v>0</v>
      </c>
      <c r="L192" s="618">
        <f>'Membership Record'!K193+'Membership Record'!T193</f>
        <v>0</v>
      </c>
      <c r="M192" s="615">
        <f t="shared" si="23"/>
        <v>0</v>
      </c>
      <c r="N192" s="614">
        <f>'Membership Record'!L193+'Membership Record'!U193</f>
        <v>0</v>
      </c>
      <c r="O192" s="619">
        <f t="shared" si="24"/>
        <v>0</v>
      </c>
      <c r="P192" s="346"/>
      <c r="Q192" s="93"/>
      <c r="R192" s="94"/>
      <c r="S192" s="94"/>
      <c r="T192" s="330"/>
      <c r="U192" s="347"/>
      <c r="V192" s="92"/>
      <c r="W192" s="94"/>
      <c r="X192" s="95"/>
      <c r="Y192" s="95"/>
      <c r="Z192" s="95"/>
      <c r="AA192" s="94"/>
      <c r="AB192" s="346"/>
      <c r="AC192" s="93"/>
      <c r="AD192" s="94"/>
      <c r="AE192" s="94"/>
      <c r="AF192" s="330"/>
      <c r="AG192" s="347"/>
      <c r="AH192" s="92"/>
      <c r="AI192" s="94"/>
      <c r="AJ192" s="95"/>
      <c r="AK192" s="95"/>
      <c r="AL192" s="95"/>
      <c r="AM192" s="94"/>
      <c r="AN192" s="346"/>
      <c r="AO192" s="93"/>
      <c r="AP192" s="94"/>
      <c r="AQ192" s="94"/>
      <c r="AR192" s="330"/>
      <c r="AS192" s="347"/>
      <c r="AT192" s="92"/>
      <c r="AU192" s="94"/>
      <c r="AV192" s="95"/>
      <c r="AW192" s="95"/>
      <c r="AX192" s="95"/>
      <c r="AY192" s="94"/>
      <c r="AZ192" s="346"/>
      <c r="BA192" s="93"/>
      <c r="BB192" s="94"/>
      <c r="BC192" s="94"/>
      <c r="BD192" s="330"/>
      <c r="BE192" s="347"/>
      <c r="BF192" s="92"/>
      <c r="BG192" s="94"/>
      <c r="BH192" s="95"/>
      <c r="BI192" s="95"/>
      <c r="BJ192" s="95"/>
      <c r="BK192" s="94"/>
      <c r="BL192" s="346"/>
      <c r="BM192" s="93"/>
      <c r="BN192" s="94"/>
      <c r="BO192" s="94"/>
      <c r="BP192" s="330"/>
      <c r="BQ192" s="347"/>
      <c r="BR192" s="92"/>
      <c r="BS192" s="94"/>
      <c r="BT192" s="95"/>
      <c r="BU192" s="95"/>
      <c r="BV192" s="95"/>
      <c r="BW192" s="94"/>
      <c r="BX192" s="346"/>
      <c r="BY192" s="93"/>
      <c r="BZ192" s="94"/>
      <c r="CA192" s="94"/>
      <c r="CB192" s="330"/>
      <c r="CC192" s="347"/>
      <c r="CD192" s="92"/>
      <c r="CE192" s="94"/>
      <c r="CF192" s="95"/>
      <c r="CG192" s="95"/>
      <c r="CH192" s="95"/>
      <c r="CI192" s="94"/>
    </row>
    <row r="193" spans="1:87" x14ac:dyDescent="0.2">
      <c r="A193" s="8">
        <v>184</v>
      </c>
      <c r="B193" s="1125">
        <f>'Membership Record'!B194</f>
        <v>0</v>
      </c>
      <c r="C193" s="1125"/>
      <c r="D193" s="87">
        <f>'Membership Record'!G194+'Membership Record'!P194</f>
        <v>0</v>
      </c>
      <c r="E193" s="350">
        <f t="shared" si="19"/>
        <v>0</v>
      </c>
      <c r="F193" s="614">
        <f>'Membership Record'!H194+'Membership Record'!Q194</f>
        <v>0</v>
      </c>
      <c r="G193" s="615">
        <f t="shared" si="20"/>
        <v>0</v>
      </c>
      <c r="H193" s="614">
        <f>'Membership Record'!I194+'Membership Record'!R194</f>
        <v>0</v>
      </c>
      <c r="I193" s="616">
        <f t="shared" si="21"/>
        <v>0</v>
      </c>
      <c r="J193" s="614">
        <f>'Membership Record'!J194+'Membership Record'!S194</f>
        <v>0</v>
      </c>
      <c r="K193" s="618">
        <f t="shared" si="22"/>
        <v>0</v>
      </c>
      <c r="L193" s="618">
        <f>'Membership Record'!K194+'Membership Record'!T194</f>
        <v>0</v>
      </c>
      <c r="M193" s="615">
        <f t="shared" si="23"/>
        <v>0</v>
      </c>
      <c r="N193" s="614">
        <f>'Membership Record'!L194+'Membership Record'!U194</f>
        <v>0</v>
      </c>
      <c r="O193" s="619">
        <f t="shared" si="24"/>
        <v>0</v>
      </c>
      <c r="P193" s="346"/>
      <c r="Q193" s="93"/>
      <c r="R193" s="94"/>
      <c r="S193" s="94"/>
      <c r="T193" s="330"/>
      <c r="U193" s="347"/>
      <c r="V193" s="92"/>
      <c r="W193" s="94"/>
      <c r="X193" s="95"/>
      <c r="Y193" s="95"/>
      <c r="Z193" s="95"/>
      <c r="AA193" s="94"/>
      <c r="AB193" s="346"/>
      <c r="AC193" s="93"/>
      <c r="AD193" s="94"/>
      <c r="AE193" s="94"/>
      <c r="AF193" s="330"/>
      <c r="AG193" s="347"/>
      <c r="AH193" s="92"/>
      <c r="AI193" s="94"/>
      <c r="AJ193" s="95"/>
      <c r="AK193" s="95"/>
      <c r="AL193" s="95"/>
      <c r="AM193" s="94"/>
      <c r="AN193" s="346"/>
      <c r="AO193" s="93"/>
      <c r="AP193" s="94"/>
      <c r="AQ193" s="94"/>
      <c r="AR193" s="330"/>
      <c r="AS193" s="347"/>
      <c r="AT193" s="92"/>
      <c r="AU193" s="94"/>
      <c r="AV193" s="95"/>
      <c r="AW193" s="95"/>
      <c r="AX193" s="95"/>
      <c r="AY193" s="94"/>
      <c r="AZ193" s="346"/>
      <c r="BA193" s="93"/>
      <c r="BB193" s="94"/>
      <c r="BC193" s="94"/>
      <c r="BD193" s="330"/>
      <c r="BE193" s="347"/>
      <c r="BF193" s="92"/>
      <c r="BG193" s="94"/>
      <c r="BH193" s="95"/>
      <c r="BI193" s="95"/>
      <c r="BJ193" s="95"/>
      <c r="BK193" s="94"/>
      <c r="BL193" s="346"/>
      <c r="BM193" s="93"/>
      <c r="BN193" s="94"/>
      <c r="BO193" s="94"/>
      <c r="BP193" s="330"/>
      <c r="BQ193" s="347"/>
      <c r="BR193" s="92"/>
      <c r="BS193" s="94"/>
      <c r="BT193" s="95"/>
      <c r="BU193" s="95"/>
      <c r="BV193" s="95"/>
      <c r="BW193" s="94"/>
      <c r="BX193" s="346"/>
      <c r="BY193" s="93"/>
      <c r="BZ193" s="94"/>
      <c r="CA193" s="94"/>
      <c r="CB193" s="330"/>
      <c r="CC193" s="347"/>
      <c r="CD193" s="92"/>
      <c r="CE193" s="94"/>
      <c r="CF193" s="95"/>
      <c r="CG193" s="95"/>
      <c r="CH193" s="95"/>
      <c r="CI193" s="94"/>
    </row>
    <row r="194" spans="1:87" x14ac:dyDescent="0.2">
      <c r="A194" s="8">
        <v>185</v>
      </c>
      <c r="B194" s="1125">
        <f>'Membership Record'!B195</f>
        <v>0</v>
      </c>
      <c r="C194" s="1125"/>
      <c r="D194" s="87">
        <f>'Membership Record'!G195+'Membership Record'!P195</f>
        <v>0</v>
      </c>
      <c r="E194" s="350">
        <f t="shared" si="19"/>
        <v>0</v>
      </c>
      <c r="F194" s="614">
        <f>'Membership Record'!H195+'Membership Record'!Q195</f>
        <v>0</v>
      </c>
      <c r="G194" s="615">
        <f t="shared" si="20"/>
        <v>0</v>
      </c>
      <c r="H194" s="614">
        <f>'Membership Record'!I195+'Membership Record'!R195</f>
        <v>0</v>
      </c>
      <c r="I194" s="616">
        <f t="shared" si="21"/>
        <v>0</v>
      </c>
      <c r="J194" s="614">
        <f>'Membership Record'!J195+'Membership Record'!S195</f>
        <v>0</v>
      </c>
      <c r="K194" s="618">
        <f t="shared" si="22"/>
        <v>0</v>
      </c>
      <c r="L194" s="618">
        <f>'Membership Record'!K195+'Membership Record'!T195</f>
        <v>0</v>
      </c>
      <c r="M194" s="615">
        <f t="shared" si="23"/>
        <v>0</v>
      </c>
      <c r="N194" s="614">
        <f>'Membership Record'!L195+'Membership Record'!U195</f>
        <v>0</v>
      </c>
      <c r="O194" s="619">
        <f t="shared" si="24"/>
        <v>0</v>
      </c>
      <c r="P194" s="346"/>
      <c r="Q194" s="93"/>
      <c r="R194" s="94"/>
      <c r="S194" s="94"/>
      <c r="T194" s="330"/>
      <c r="U194" s="347"/>
      <c r="V194" s="92"/>
      <c r="W194" s="94"/>
      <c r="X194" s="95"/>
      <c r="Y194" s="95"/>
      <c r="Z194" s="95"/>
      <c r="AA194" s="94"/>
      <c r="AB194" s="346"/>
      <c r="AC194" s="93"/>
      <c r="AD194" s="94"/>
      <c r="AE194" s="94"/>
      <c r="AF194" s="330"/>
      <c r="AG194" s="347"/>
      <c r="AH194" s="92"/>
      <c r="AI194" s="94"/>
      <c r="AJ194" s="95"/>
      <c r="AK194" s="95"/>
      <c r="AL194" s="95"/>
      <c r="AM194" s="94"/>
      <c r="AN194" s="346"/>
      <c r="AO194" s="93"/>
      <c r="AP194" s="94"/>
      <c r="AQ194" s="94"/>
      <c r="AR194" s="330"/>
      <c r="AS194" s="347"/>
      <c r="AT194" s="92"/>
      <c r="AU194" s="94"/>
      <c r="AV194" s="95"/>
      <c r="AW194" s="95"/>
      <c r="AX194" s="95"/>
      <c r="AY194" s="94"/>
      <c r="AZ194" s="346"/>
      <c r="BA194" s="93"/>
      <c r="BB194" s="94"/>
      <c r="BC194" s="94"/>
      <c r="BD194" s="330"/>
      <c r="BE194" s="347"/>
      <c r="BF194" s="92"/>
      <c r="BG194" s="94"/>
      <c r="BH194" s="95"/>
      <c r="BI194" s="95"/>
      <c r="BJ194" s="95"/>
      <c r="BK194" s="94"/>
      <c r="BL194" s="346"/>
      <c r="BM194" s="93"/>
      <c r="BN194" s="94"/>
      <c r="BO194" s="94"/>
      <c r="BP194" s="330"/>
      <c r="BQ194" s="347"/>
      <c r="BR194" s="92"/>
      <c r="BS194" s="94"/>
      <c r="BT194" s="95"/>
      <c r="BU194" s="95"/>
      <c r="BV194" s="95"/>
      <c r="BW194" s="94"/>
      <c r="BX194" s="346"/>
      <c r="BY194" s="93"/>
      <c r="BZ194" s="94"/>
      <c r="CA194" s="94"/>
      <c r="CB194" s="330"/>
      <c r="CC194" s="347"/>
      <c r="CD194" s="92"/>
      <c r="CE194" s="94"/>
      <c r="CF194" s="95"/>
      <c r="CG194" s="95"/>
      <c r="CH194" s="95"/>
      <c r="CI194" s="94"/>
    </row>
    <row r="195" spans="1:87" x14ac:dyDescent="0.2">
      <c r="A195" s="8">
        <v>186</v>
      </c>
      <c r="B195" s="1125">
        <f>'Membership Record'!B196</f>
        <v>0</v>
      </c>
      <c r="C195" s="1125"/>
      <c r="D195" s="87">
        <f>'Membership Record'!G196+'Membership Record'!P196</f>
        <v>0</v>
      </c>
      <c r="E195" s="350">
        <f t="shared" si="19"/>
        <v>0</v>
      </c>
      <c r="F195" s="614">
        <f>'Membership Record'!H196+'Membership Record'!Q196</f>
        <v>0</v>
      </c>
      <c r="G195" s="615">
        <f t="shared" si="20"/>
        <v>0</v>
      </c>
      <c r="H195" s="614">
        <f>'Membership Record'!I196+'Membership Record'!R196</f>
        <v>0</v>
      </c>
      <c r="I195" s="616">
        <f t="shared" si="21"/>
        <v>0</v>
      </c>
      <c r="J195" s="614">
        <f>'Membership Record'!J196+'Membership Record'!S196</f>
        <v>0</v>
      </c>
      <c r="K195" s="618">
        <f t="shared" si="22"/>
        <v>0</v>
      </c>
      <c r="L195" s="618">
        <f>'Membership Record'!K196+'Membership Record'!T196</f>
        <v>0</v>
      </c>
      <c r="M195" s="615">
        <f t="shared" si="23"/>
        <v>0</v>
      </c>
      <c r="N195" s="614">
        <f>'Membership Record'!L196+'Membership Record'!U196</f>
        <v>0</v>
      </c>
      <c r="O195" s="619">
        <f t="shared" si="24"/>
        <v>0</v>
      </c>
      <c r="P195" s="346"/>
      <c r="Q195" s="93"/>
      <c r="R195" s="94"/>
      <c r="S195" s="94"/>
      <c r="T195" s="330"/>
      <c r="U195" s="347"/>
      <c r="V195" s="92"/>
      <c r="W195" s="94"/>
      <c r="X195" s="95"/>
      <c r="Y195" s="95"/>
      <c r="Z195" s="95"/>
      <c r="AA195" s="94"/>
      <c r="AB195" s="346"/>
      <c r="AC195" s="93"/>
      <c r="AD195" s="94"/>
      <c r="AE195" s="94"/>
      <c r="AF195" s="330"/>
      <c r="AG195" s="347"/>
      <c r="AH195" s="92"/>
      <c r="AI195" s="94"/>
      <c r="AJ195" s="95"/>
      <c r="AK195" s="95"/>
      <c r="AL195" s="95"/>
      <c r="AM195" s="94"/>
      <c r="AN195" s="346"/>
      <c r="AO195" s="93"/>
      <c r="AP195" s="94"/>
      <c r="AQ195" s="94"/>
      <c r="AR195" s="330"/>
      <c r="AS195" s="347"/>
      <c r="AT195" s="92"/>
      <c r="AU195" s="94"/>
      <c r="AV195" s="95"/>
      <c r="AW195" s="95"/>
      <c r="AX195" s="95"/>
      <c r="AY195" s="94"/>
      <c r="AZ195" s="346"/>
      <c r="BA195" s="93"/>
      <c r="BB195" s="94"/>
      <c r="BC195" s="94"/>
      <c r="BD195" s="330"/>
      <c r="BE195" s="347"/>
      <c r="BF195" s="92"/>
      <c r="BG195" s="94"/>
      <c r="BH195" s="95"/>
      <c r="BI195" s="95"/>
      <c r="BJ195" s="95"/>
      <c r="BK195" s="94"/>
      <c r="BL195" s="346"/>
      <c r="BM195" s="93"/>
      <c r="BN195" s="94"/>
      <c r="BO195" s="94"/>
      <c r="BP195" s="330"/>
      <c r="BQ195" s="347"/>
      <c r="BR195" s="92"/>
      <c r="BS195" s="94"/>
      <c r="BT195" s="95"/>
      <c r="BU195" s="95"/>
      <c r="BV195" s="95"/>
      <c r="BW195" s="94"/>
      <c r="BX195" s="346"/>
      <c r="BY195" s="93"/>
      <c r="BZ195" s="94"/>
      <c r="CA195" s="94"/>
      <c r="CB195" s="330"/>
      <c r="CC195" s="347"/>
      <c r="CD195" s="92"/>
      <c r="CE195" s="94"/>
      <c r="CF195" s="95"/>
      <c r="CG195" s="95"/>
      <c r="CH195" s="95"/>
      <c r="CI195" s="94"/>
    </row>
    <row r="196" spans="1:87" x14ac:dyDescent="0.2">
      <c r="A196" s="8">
        <v>187</v>
      </c>
      <c r="B196" s="1125">
        <f>'Membership Record'!B197</f>
        <v>0</v>
      </c>
      <c r="C196" s="1125"/>
      <c r="D196" s="87">
        <f>'Membership Record'!G197+'Membership Record'!P197</f>
        <v>0</v>
      </c>
      <c r="E196" s="350">
        <f t="shared" si="19"/>
        <v>0</v>
      </c>
      <c r="F196" s="614">
        <f>'Membership Record'!H197+'Membership Record'!Q197</f>
        <v>0</v>
      </c>
      <c r="G196" s="615">
        <f t="shared" si="20"/>
        <v>0</v>
      </c>
      <c r="H196" s="614">
        <f>'Membership Record'!I197+'Membership Record'!R197</f>
        <v>0</v>
      </c>
      <c r="I196" s="616">
        <f t="shared" si="21"/>
        <v>0</v>
      </c>
      <c r="J196" s="614">
        <f>'Membership Record'!J197+'Membership Record'!S197</f>
        <v>0</v>
      </c>
      <c r="K196" s="618">
        <f t="shared" si="22"/>
        <v>0</v>
      </c>
      <c r="L196" s="618">
        <f>'Membership Record'!K197+'Membership Record'!T197</f>
        <v>0</v>
      </c>
      <c r="M196" s="615">
        <f t="shared" si="23"/>
        <v>0</v>
      </c>
      <c r="N196" s="614">
        <f>'Membership Record'!L197+'Membership Record'!U197</f>
        <v>0</v>
      </c>
      <c r="O196" s="619">
        <f t="shared" si="24"/>
        <v>0</v>
      </c>
      <c r="P196" s="346"/>
      <c r="Q196" s="93"/>
      <c r="R196" s="94"/>
      <c r="S196" s="94"/>
      <c r="T196" s="330"/>
      <c r="U196" s="347"/>
      <c r="V196" s="92"/>
      <c r="W196" s="94"/>
      <c r="X196" s="95"/>
      <c r="Y196" s="95"/>
      <c r="Z196" s="95"/>
      <c r="AA196" s="94"/>
      <c r="AB196" s="346"/>
      <c r="AC196" s="93"/>
      <c r="AD196" s="94"/>
      <c r="AE196" s="94"/>
      <c r="AF196" s="330"/>
      <c r="AG196" s="347"/>
      <c r="AH196" s="92"/>
      <c r="AI196" s="94"/>
      <c r="AJ196" s="95"/>
      <c r="AK196" s="95"/>
      <c r="AL196" s="95"/>
      <c r="AM196" s="94"/>
      <c r="AN196" s="346"/>
      <c r="AO196" s="93"/>
      <c r="AP196" s="94"/>
      <c r="AQ196" s="94"/>
      <c r="AR196" s="330"/>
      <c r="AS196" s="347"/>
      <c r="AT196" s="92"/>
      <c r="AU196" s="94"/>
      <c r="AV196" s="95"/>
      <c r="AW196" s="95"/>
      <c r="AX196" s="95"/>
      <c r="AY196" s="94"/>
      <c r="AZ196" s="346"/>
      <c r="BA196" s="93"/>
      <c r="BB196" s="94"/>
      <c r="BC196" s="94"/>
      <c r="BD196" s="330"/>
      <c r="BE196" s="347"/>
      <c r="BF196" s="92"/>
      <c r="BG196" s="94"/>
      <c r="BH196" s="95"/>
      <c r="BI196" s="95"/>
      <c r="BJ196" s="95"/>
      <c r="BK196" s="94"/>
      <c r="BL196" s="346"/>
      <c r="BM196" s="93"/>
      <c r="BN196" s="94"/>
      <c r="BO196" s="94"/>
      <c r="BP196" s="330"/>
      <c r="BQ196" s="347"/>
      <c r="BR196" s="92"/>
      <c r="BS196" s="94"/>
      <c r="BT196" s="95"/>
      <c r="BU196" s="95"/>
      <c r="BV196" s="95"/>
      <c r="BW196" s="94"/>
      <c r="BX196" s="346"/>
      <c r="BY196" s="93"/>
      <c r="BZ196" s="94"/>
      <c r="CA196" s="94"/>
      <c r="CB196" s="330"/>
      <c r="CC196" s="347"/>
      <c r="CD196" s="92"/>
      <c r="CE196" s="94"/>
      <c r="CF196" s="95"/>
      <c r="CG196" s="95"/>
      <c r="CH196" s="95"/>
      <c r="CI196" s="94"/>
    </row>
    <row r="197" spans="1:87" x14ac:dyDescent="0.2">
      <c r="A197" s="8">
        <v>188</v>
      </c>
      <c r="B197" s="1125">
        <f>'Membership Record'!B198</f>
        <v>0</v>
      </c>
      <c r="C197" s="1125"/>
      <c r="D197" s="87">
        <f>'Membership Record'!G198+'Membership Record'!P198</f>
        <v>0</v>
      </c>
      <c r="E197" s="350">
        <f t="shared" si="19"/>
        <v>0</v>
      </c>
      <c r="F197" s="614">
        <f>'Membership Record'!H198+'Membership Record'!Q198</f>
        <v>0</v>
      </c>
      <c r="G197" s="615">
        <f t="shared" si="20"/>
        <v>0</v>
      </c>
      <c r="H197" s="614">
        <f>'Membership Record'!I198+'Membership Record'!R198</f>
        <v>0</v>
      </c>
      <c r="I197" s="616">
        <f t="shared" si="21"/>
        <v>0</v>
      </c>
      <c r="J197" s="614">
        <f>'Membership Record'!J198+'Membership Record'!S198</f>
        <v>0</v>
      </c>
      <c r="K197" s="618">
        <f t="shared" si="22"/>
        <v>0</v>
      </c>
      <c r="L197" s="618">
        <f>'Membership Record'!K198+'Membership Record'!T198</f>
        <v>0</v>
      </c>
      <c r="M197" s="615">
        <f t="shared" si="23"/>
        <v>0</v>
      </c>
      <c r="N197" s="614">
        <f>'Membership Record'!L198+'Membership Record'!U198</f>
        <v>0</v>
      </c>
      <c r="O197" s="619">
        <f t="shared" si="24"/>
        <v>0</v>
      </c>
      <c r="P197" s="346"/>
      <c r="Q197" s="93"/>
      <c r="R197" s="94"/>
      <c r="S197" s="94"/>
      <c r="T197" s="330"/>
      <c r="U197" s="347"/>
      <c r="V197" s="92"/>
      <c r="W197" s="94"/>
      <c r="X197" s="95"/>
      <c r="Y197" s="95"/>
      <c r="Z197" s="95"/>
      <c r="AA197" s="94"/>
      <c r="AB197" s="346"/>
      <c r="AC197" s="93"/>
      <c r="AD197" s="94"/>
      <c r="AE197" s="94"/>
      <c r="AF197" s="330"/>
      <c r="AG197" s="347"/>
      <c r="AH197" s="92"/>
      <c r="AI197" s="94"/>
      <c r="AJ197" s="95"/>
      <c r="AK197" s="95"/>
      <c r="AL197" s="95"/>
      <c r="AM197" s="94"/>
      <c r="AN197" s="346"/>
      <c r="AO197" s="93"/>
      <c r="AP197" s="94"/>
      <c r="AQ197" s="94"/>
      <c r="AR197" s="330"/>
      <c r="AS197" s="347"/>
      <c r="AT197" s="92"/>
      <c r="AU197" s="94"/>
      <c r="AV197" s="95"/>
      <c r="AW197" s="95"/>
      <c r="AX197" s="95"/>
      <c r="AY197" s="94"/>
      <c r="AZ197" s="346"/>
      <c r="BA197" s="93"/>
      <c r="BB197" s="94"/>
      <c r="BC197" s="94"/>
      <c r="BD197" s="330"/>
      <c r="BE197" s="347"/>
      <c r="BF197" s="92"/>
      <c r="BG197" s="94"/>
      <c r="BH197" s="95"/>
      <c r="BI197" s="95"/>
      <c r="BJ197" s="95"/>
      <c r="BK197" s="94"/>
      <c r="BL197" s="346"/>
      <c r="BM197" s="93"/>
      <c r="BN197" s="94"/>
      <c r="BO197" s="94"/>
      <c r="BP197" s="330"/>
      <c r="BQ197" s="347"/>
      <c r="BR197" s="92"/>
      <c r="BS197" s="94"/>
      <c r="BT197" s="95"/>
      <c r="BU197" s="95"/>
      <c r="BV197" s="95"/>
      <c r="BW197" s="94"/>
      <c r="BX197" s="346"/>
      <c r="BY197" s="93"/>
      <c r="BZ197" s="94"/>
      <c r="CA197" s="94"/>
      <c r="CB197" s="330"/>
      <c r="CC197" s="347"/>
      <c r="CD197" s="92"/>
      <c r="CE197" s="94"/>
      <c r="CF197" s="95"/>
      <c r="CG197" s="95"/>
      <c r="CH197" s="95"/>
      <c r="CI197" s="94"/>
    </row>
    <row r="198" spans="1:87" x14ac:dyDescent="0.2">
      <c r="A198" s="8">
        <v>189</v>
      </c>
      <c r="B198" s="1125">
        <f>'Membership Record'!B199</f>
        <v>0</v>
      </c>
      <c r="C198" s="1125"/>
      <c r="D198" s="87">
        <f>'Membership Record'!G199+'Membership Record'!P199</f>
        <v>0</v>
      </c>
      <c r="E198" s="350">
        <f t="shared" si="19"/>
        <v>0</v>
      </c>
      <c r="F198" s="614">
        <f>'Membership Record'!H199+'Membership Record'!Q199</f>
        <v>0</v>
      </c>
      <c r="G198" s="615">
        <f t="shared" si="20"/>
        <v>0</v>
      </c>
      <c r="H198" s="614">
        <f>'Membership Record'!I199+'Membership Record'!R199</f>
        <v>0</v>
      </c>
      <c r="I198" s="616">
        <f t="shared" si="21"/>
        <v>0</v>
      </c>
      <c r="J198" s="614">
        <f>'Membership Record'!J199+'Membership Record'!S199</f>
        <v>0</v>
      </c>
      <c r="K198" s="618">
        <f t="shared" si="22"/>
        <v>0</v>
      </c>
      <c r="L198" s="618">
        <f>'Membership Record'!K199+'Membership Record'!T199</f>
        <v>0</v>
      </c>
      <c r="M198" s="615">
        <f t="shared" si="23"/>
        <v>0</v>
      </c>
      <c r="N198" s="614">
        <f>'Membership Record'!L199+'Membership Record'!U199</f>
        <v>0</v>
      </c>
      <c r="O198" s="619">
        <f t="shared" si="24"/>
        <v>0</v>
      </c>
      <c r="P198" s="346"/>
      <c r="Q198" s="93"/>
      <c r="R198" s="94"/>
      <c r="S198" s="94"/>
      <c r="T198" s="330"/>
      <c r="U198" s="347"/>
      <c r="V198" s="92"/>
      <c r="W198" s="94"/>
      <c r="X198" s="95"/>
      <c r="Y198" s="95"/>
      <c r="Z198" s="95"/>
      <c r="AA198" s="94"/>
      <c r="AB198" s="346"/>
      <c r="AC198" s="93"/>
      <c r="AD198" s="94"/>
      <c r="AE198" s="94"/>
      <c r="AF198" s="330"/>
      <c r="AG198" s="347"/>
      <c r="AH198" s="92"/>
      <c r="AI198" s="94"/>
      <c r="AJ198" s="95"/>
      <c r="AK198" s="95"/>
      <c r="AL198" s="95"/>
      <c r="AM198" s="94"/>
      <c r="AN198" s="346"/>
      <c r="AO198" s="93"/>
      <c r="AP198" s="94"/>
      <c r="AQ198" s="94"/>
      <c r="AR198" s="330"/>
      <c r="AS198" s="347"/>
      <c r="AT198" s="92"/>
      <c r="AU198" s="94"/>
      <c r="AV198" s="95"/>
      <c r="AW198" s="95"/>
      <c r="AX198" s="95"/>
      <c r="AY198" s="94"/>
      <c r="AZ198" s="346"/>
      <c r="BA198" s="93"/>
      <c r="BB198" s="94"/>
      <c r="BC198" s="94"/>
      <c r="BD198" s="330"/>
      <c r="BE198" s="347"/>
      <c r="BF198" s="92"/>
      <c r="BG198" s="94"/>
      <c r="BH198" s="95"/>
      <c r="BI198" s="95"/>
      <c r="BJ198" s="95"/>
      <c r="BK198" s="94"/>
      <c r="BL198" s="346"/>
      <c r="BM198" s="93"/>
      <c r="BN198" s="94"/>
      <c r="BO198" s="94"/>
      <c r="BP198" s="330"/>
      <c r="BQ198" s="347"/>
      <c r="BR198" s="92"/>
      <c r="BS198" s="94"/>
      <c r="BT198" s="95"/>
      <c r="BU198" s="95"/>
      <c r="BV198" s="95"/>
      <c r="BW198" s="94"/>
      <c r="BX198" s="346"/>
      <c r="BY198" s="93"/>
      <c r="BZ198" s="94"/>
      <c r="CA198" s="94"/>
      <c r="CB198" s="330"/>
      <c r="CC198" s="347"/>
      <c r="CD198" s="92"/>
      <c r="CE198" s="94"/>
      <c r="CF198" s="95"/>
      <c r="CG198" s="95"/>
      <c r="CH198" s="95"/>
      <c r="CI198" s="94"/>
    </row>
    <row r="199" spans="1:87" x14ac:dyDescent="0.2">
      <c r="A199" s="8">
        <v>190</v>
      </c>
      <c r="B199" s="1125">
        <f>'Membership Record'!B200</f>
        <v>0</v>
      </c>
      <c r="C199" s="1125"/>
      <c r="D199" s="87">
        <f>'Membership Record'!G200+'Membership Record'!P200</f>
        <v>0</v>
      </c>
      <c r="E199" s="350">
        <f t="shared" si="19"/>
        <v>0</v>
      </c>
      <c r="F199" s="614">
        <f>'Membership Record'!H200+'Membership Record'!Q200</f>
        <v>0</v>
      </c>
      <c r="G199" s="615">
        <f t="shared" si="20"/>
        <v>0</v>
      </c>
      <c r="H199" s="614">
        <f>'Membership Record'!I200+'Membership Record'!R200</f>
        <v>0</v>
      </c>
      <c r="I199" s="616">
        <f t="shared" si="21"/>
        <v>0</v>
      </c>
      <c r="J199" s="614">
        <f>'Membership Record'!J200+'Membership Record'!S200</f>
        <v>0</v>
      </c>
      <c r="K199" s="618">
        <f t="shared" si="22"/>
        <v>0</v>
      </c>
      <c r="L199" s="618">
        <f>'Membership Record'!K200+'Membership Record'!T200</f>
        <v>0</v>
      </c>
      <c r="M199" s="615">
        <f t="shared" si="23"/>
        <v>0</v>
      </c>
      <c r="N199" s="614">
        <f>'Membership Record'!L200+'Membership Record'!U200</f>
        <v>0</v>
      </c>
      <c r="O199" s="619">
        <f t="shared" si="24"/>
        <v>0</v>
      </c>
      <c r="P199" s="346"/>
      <c r="Q199" s="93"/>
      <c r="R199" s="94"/>
      <c r="S199" s="94"/>
      <c r="T199" s="330"/>
      <c r="U199" s="347"/>
      <c r="V199" s="92"/>
      <c r="W199" s="94"/>
      <c r="X199" s="95"/>
      <c r="Y199" s="95"/>
      <c r="Z199" s="95"/>
      <c r="AA199" s="94"/>
      <c r="AB199" s="346"/>
      <c r="AC199" s="93"/>
      <c r="AD199" s="94"/>
      <c r="AE199" s="94"/>
      <c r="AF199" s="330"/>
      <c r="AG199" s="347"/>
      <c r="AH199" s="92"/>
      <c r="AI199" s="94"/>
      <c r="AJ199" s="95"/>
      <c r="AK199" s="95"/>
      <c r="AL199" s="95"/>
      <c r="AM199" s="94"/>
      <c r="AN199" s="346"/>
      <c r="AO199" s="93"/>
      <c r="AP199" s="94"/>
      <c r="AQ199" s="94"/>
      <c r="AR199" s="330"/>
      <c r="AS199" s="347"/>
      <c r="AT199" s="92"/>
      <c r="AU199" s="94"/>
      <c r="AV199" s="95"/>
      <c r="AW199" s="95"/>
      <c r="AX199" s="95"/>
      <c r="AY199" s="94"/>
      <c r="AZ199" s="346"/>
      <c r="BA199" s="93"/>
      <c r="BB199" s="94"/>
      <c r="BC199" s="94"/>
      <c r="BD199" s="330"/>
      <c r="BE199" s="347"/>
      <c r="BF199" s="92"/>
      <c r="BG199" s="94"/>
      <c r="BH199" s="95"/>
      <c r="BI199" s="95"/>
      <c r="BJ199" s="95"/>
      <c r="BK199" s="94"/>
      <c r="BL199" s="346"/>
      <c r="BM199" s="93"/>
      <c r="BN199" s="94"/>
      <c r="BO199" s="94"/>
      <c r="BP199" s="330"/>
      <c r="BQ199" s="347"/>
      <c r="BR199" s="92"/>
      <c r="BS199" s="94"/>
      <c r="BT199" s="95"/>
      <c r="BU199" s="95"/>
      <c r="BV199" s="95"/>
      <c r="BW199" s="94"/>
      <c r="BX199" s="346"/>
      <c r="BY199" s="93"/>
      <c r="BZ199" s="94"/>
      <c r="CA199" s="94"/>
      <c r="CB199" s="330"/>
      <c r="CC199" s="347"/>
      <c r="CD199" s="92"/>
      <c r="CE199" s="94"/>
      <c r="CF199" s="95"/>
      <c r="CG199" s="95"/>
      <c r="CH199" s="95"/>
      <c r="CI199" s="94"/>
    </row>
    <row r="200" spans="1:87" x14ac:dyDescent="0.2">
      <c r="A200" s="8">
        <v>191</v>
      </c>
      <c r="B200" s="1125">
        <f>'Membership Record'!B201</f>
        <v>0</v>
      </c>
      <c r="C200" s="1125"/>
      <c r="D200" s="87">
        <f>'Membership Record'!G201+'Membership Record'!P201</f>
        <v>0</v>
      </c>
      <c r="E200" s="350">
        <f t="shared" si="19"/>
        <v>0</v>
      </c>
      <c r="F200" s="614">
        <f>'Membership Record'!H201+'Membership Record'!Q201</f>
        <v>0</v>
      </c>
      <c r="G200" s="615">
        <f t="shared" si="20"/>
        <v>0</v>
      </c>
      <c r="H200" s="614">
        <f>'Membership Record'!I201+'Membership Record'!R201</f>
        <v>0</v>
      </c>
      <c r="I200" s="616">
        <f t="shared" si="21"/>
        <v>0</v>
      </c>
      <c r="J200" s="614">
        <f>'Membership Record'!J201+'Membership Record'!S201</f>
        <v>0</v>
      </c>
      <c r="K200" s="618">
        <f t="shared" si="22"/>
        <v>0</v>
      </c>
      <c r="L200" s="618">
        <f>'Membership Record'!K201+'Membership Record'!T201</f>
        <v>0</v>
      </c>
      <c r="M200" s="615">
        <f t="shared" si="23"/>
        <v>0</v>
      </c>
      <c r="N200" s="614">
        <f>'Membership Record'!L201+'Membership Record'!U201</f>
        <v>0</v>
      </c>
      <c r="O200" s="619">
        <f t="shared" si="24"/>
        <v>0</v>
      </c>
      <c r="P200" s="346"/>
      <c r="Q200" s="93"/>
      <c r="R200" s="94"/>
      <c r="S200" s="94"/>
      <c r="T200" s="330"/>
      <c r="U200" s="347"/>
      <c r="V200" s="92"/>
      <c r="W200" s="94"/>
      <c r="X200" s="95"/>
      <c r="Y200" s="95"/>
      <c r="Z200" s="95"/>
      <c r="AA200" s="94"/>
      <c r="AB200" s="346"/>
      <c r="AC200" s="93"/>
      <c r="AD200" s="94"/>
      <c r="AE200" s="94"/>
      <c r="AF200" s="330"/>
      <c r="AG200" s="347"/>
      <c r="AH200" s="92"/>
      <c r="AI200" s="94"/>
      <c r="AJ200" s="95"/>
      <c r="AK200" s="95"/>
      <c r="AL200" s="95"/>
      <c r="AM200" s="94"/>
      <c r="AN200" s="346"/>
      <c r="AO200" s="93"/>
      <c r="AP200" s="94"/>
      <c r="AQ200" s="94"/>
      <c r="AR200" s="330"/>
      <c r="AS200" s="347"/>
      <c r="AT200" s="92"/>
      <c r="AU200" s="94"/>
      <c r="AV200" s="95"/>
      <c r="AW200" s="95"/>
      <c r="AX200" s="95"/>
      <c r="AY200" s="94"/>
      <c r="AZ200" s="346"/>
      <c r="BA200" s="93"/>
      <c r="BB200" s="94"/>
      <c r="BC200" s="94"/>
      <c r="BD200" s="330"/>
      <c r="BE200" s="347"/>
      <c r="BF200" s="92"/>
      <c r="BG200" s="94"/>
      <c r="BH200" s="95"/>
      <c r="BI200" s="95"/>
      <c r="BJ200" s="95"/>
      <c r="BK200" s="94"/>
      <c r="BL200" s="346"/>
      <c r="BM200" s="93"/>
      <c r="BN200" s="94"/>
      <c r="BO200" s="94"/>
      <c r="BP200" s="330"/>
      <c r="BQ200" s="347"/>
      <c r="BR200" s="92"/>
      <c r="BS200" s="94"/>
      <c r="BT200" s="95"/>
      <c r="BU200" s="95"/>
      <c r="BV200" s="95"/>
      <c r="BW200" s="94"/>
      <c r="BX200" s="346"/>
      <c r="BY200" s="93"/>
      <c r="BZ200" s="94"/>
      <c r="CA200" s="94"/>
      <c r="CB200" s="330"/>
      <c r="CC200" s="347"/>
      <c r="CD200" s="92"/>
      <c r="CE200" s="94"/>
      <c r="CF200" s="95"/>
      <c r="CG200" s="95"/>
      <c r="CH200" s="95"/>
      <c r="CI200" s="94"/>
    </row>
    <row r="201" spans="1:87" x14ac:dyDescent="0.2">
      <c r="A201" s="8">
        <v>192</v>
      </c>
      <c r="B201" s="1125">
        <f>'Membership Record'!B202</f>
        <v>0</v>
      </c>
      <c r="C201" s="1125"/>
      <c r="D201" s="87">
        <f>'Membership Record'!G202+'Membership Record'!P202</f>
        <v>0</v>
      </c>
      <c r="E201" s="350">
        <f t="shared" si="19"/>
        <v>0</v>
      </c>
      <c r="F201" s="614">
        <f>'Membership Record'!H202+'Membership Record'!Q202</f>
        <v>0</v>
      </c>
      <c r="G201" s="615">
        <f t="shared" si="20"/>
        <v>0</v>
      </c>
      <c r="H201" s="614">
        <f>'Membership Record'!I202+'Membership Record'!R202</f>
        <v>0</v>
      </c>
      <c r="I201" s="616">
        <f t="shared" si="21"/>
        <v>0</v>
      </c>
      <c r="J201" s="614">
        <f>'Membership Record'!J202+'Membership Record'!S202</f>
        <v>0</v>
      </c>
      <c r="K201" s="618">
        <f t="shared" si="22"/>
        <v>0</v>
      </c>
      <c r="L201" s="618">
        <f>'Membership Record'!K202+'Membership Record'!T202</f>
        <v>0</v>
      </c>
      <c r="M201" s="615">
        <f t="shared" si="23"/>
        <v>0</v>
      </c>
      <c r="N201" s="614">
        <f>'Membership Record'!L202+'Membership Record'!U202</f>
        <v>0</v>
      </c>
      <c r="O201" s="619">
        <f t="shared" si="24"/>
        <v>0</v>
      </c>
      <c r="P201" s="346"/>
      <c r="Q201" s="93"/>
      <c r="R201" s="94"/>
      <c r="S201" s="94"/>
      <c r="T201" s="330"/>
      <c r="U201" s="347"/>
      <c r="V201" s="92"/>
      <c r="W201" s="94"/>
      <c r="X201" s="95"/>
      <c r="Y201" s="95"/>
      <c r="Z201" s="95"/>
      <c r="AA201" s="94"/>
      <c r="AB201" s="346"/>
      <c r="AC201" s="93"/>
      <c r="AD201" s="94"/>
      <c r="AE201" s="94"/>
      <c r="AF201" s="330"/>
      <c r="AG201" s="347"/>
      <c r="AH201" s="92"/>
      <c r="AI201" s="94"/>
      <c r="AJ201" s="95"/>
      <c r="AK201" s="95"/>
      <c r="AL201" s="95"/>
      <c r="AM201" s="94"/>
      <c r="AN201" s="346"/>
      <c r="AO201" s="93"/>
      <c r="AP201" s="94"/>
      <c r="AQ201" s="94"/>
      <c r="AR201" s="330"/>
      <c r="AS201" s="347"/>
      <c r="AT201" s="92"/>
      <c r="AU201" s="94"/>
      <c r="AV201" s="95"/>
      <c r="AW201" s="95"/>
      <c r="AX201" s="95"/>
      <c r="AY201" s="94"/>
      <c r="AZ201" s="346"/>
      <c r="BA201" s="93"/>
      <c r="BB201" s="94"/>
      <c r="BC201" s="94"/>
      <c r="BD201" s="330"/>
      <c r="BE201" s="347"/>
      <c r="BF201" s="92"/>
      <c r="BG201" s="94"/>
      <c r="BH201" s="95"/>
      <c r="BI201" s="95"/>
      <c r="BJ201" s="95"/>
      <c r="BK201" s="94"/>
      <c r="BL201" s="346"/>
      <c r="BM201" s="93"/>
      <c r="BN201" s="94"/>
      <c r="BO201" s="94"/>
      <c r="BP201" s="330"/>
      <c r="BQ201" s="347"/>
      <c r="BR201" s="92"/>
      <c r="BS201" s="94"/>
      <c r="BT201" s="95"/>
      <c r="BU201" s="95"/>
      <c r="BV201" s="95"/>
      <c r="BW201" s="94"/>
      <c r="BX201" s="346"/>
      <c r="BY201" s="93"/>
      <c r="BZ201" s="94"/>
      <c r="CA201" s="94"/>
      <c r="CB201" s="330"/>
      <c r="CC201" s="347"/>
      <c r="CD201" s="92"/>
      <c r="CE201" s="94"/>
      <c r="CF201" s="95"/>
      <c r="CG201" s="95"/>
      <c r="CH201" s="95"/>
      <c r="CI201" s="94"/>
    </row>
    <row r="202" spans="1:87" x14ac:dyDescent="0.2">
      <c r="A202" s="8">
        <v>193</v>
      </c>
      <c r="B202" s="1125">
        <f>'Membership Record'!B203</f>
        <v>0</v>
      </c>
      <c r="C202" s="1125"/>
      <c r="D202" s="87">
        <f>'Membership Record'!G203+'Membership Record'!P203</f>
        <v>0</v>
      </c>
      <c r="E202" s="350">
        <f t="shared" si="19"/>
        <v>0</v>
      </c>
      <c r="F202" s="614">
        <f>'Membership Record'!H203+'Membership Record'!Q203</f>
        <v>0</v>
      </c>
      <c r="G202" s="615">
        <f t="shared" si="20"/>
        <v>0</v>
      </c>
      <c r="H202" s="614">
        <f>'Membership Record'!I203+'Membership Record'!R203</f>
        <v>0</v>
      </c>
      <c r="I202" s="616">
        <f t="shared" si="21"/>
        <v>0</v>
      </c>
      <c r="J202" s="614">
        <f>'Membership Record'!J203+'Membership Record'!S203</f>
        <v>0</v>
      </c>
      <c r="K202" s="618">
        <f t="shared" si="22"/>
        <v>0</v>
      </c>
      <c r="L202" s="618">
        <f>'Membership Record'!K203+'Membership Record'!T203</f>
        <v>0</v>
      </c>
      <c r="M202" s="615">
        <f t="shared" si="23"/>
        <v>0</v>
      </c>
      <c r="N202" s="614">
        <f>'Membership Record'!L203+'Membership Record'!U203</f>
        <v>0</v>
      </c>
      <c r="O202" s="619">
        <f t="shared" si="24"/>
        <v>0</v>
      </c>
      <c r="P202" s="346"/>
      <c r="Q202" s="93"/>
      <c r="R202" s="94"/>
      <c r="S202" s="94"/>
      <c r="T202" s="330"/>
      <c r="U202" s="347"/>
      <c r="V202" s="92"/>
      <c r="W202" s="94"/>
      <c r="X202" s="95"/>
      <c r="Y202" s="95"/>
      <c r="Z202" s="95"/>
      <c r="AA202" s="94"/>
      <c r="AB202" s="346"/>
      <c r="AC202" s="93"/>
      <c r="AD202" s="94"/>
      <c r="AE202" s="94"/>
      <c r="AF202" s="330"/>
      <c r="AG202" s="347"/>
      <c r="AH202" s="92"/>
      <c r="AI202" s="94"/>
      <c r="AJ202" s="95"/>
      <c r="AK202" s="95"/>
      <c r="AL202" s="95"/>
      <c r="AM202" s="94"/>
      <c r="AN202" s="346"/>
      <c r="AO202" s="93"/>
      <c r="AP202" s="94"/>
      <c r="AQ202" s="94"/>
      <c r="AR202" s="330"/>
      <c r="AS202" s="347"/>
      <c r="AT202" s="92"/>
      <c r="AU202" s="94"/>
      <c r="AV202" s="95"/>
      <c r="AW202" s="95"/>
      <c r="AX202" s="95"/>
      <c r="AY202" s="94"/>
      <c r="AZ202" s="346"/>
      <c r="BA202" s="93"/>
      <c r="BB202" s="94"/>
      <c r="BC202" s="94"/>
      <c r="BD202" s="330"/>
      <c r="BE202" s="347"/>
      <c r="BF202" s="92"/>
      <c r="BG202" s="94"/>
      <c r="BH202" s="95"/>
      <c r="BI202" s="95"/>
      <c r="BJ202" s="95"/>
      <c r="BK202" s="94"/>
      <c r="BL202" s="346"/>
      <c r="BM202" s="93"/>
      <c r="BN202" s="94"/>
      <c r="BO202" s="94"/>
      <c r="BP202" s="330"/>
      <c r="BQ202" s="347"/>
      <c r="BR202" s="92"/>
      <c r="BS202" s="94"/>
      <c r="BT202" s="95"/>
      <c r="BU202" s="95"/>
      <c r="BV202" s="95"/>
      <c r="BW202" s="94"/>
      <c r="BX202" s="346"/>
      <c r="BY202" s="93"/>
      <c r="BZ202" s="94"/>
      <c r="CA202" s="94"/>
      <c r="CB202" s="330"/>
      <c r="CC202" s="347"/>
      <c r="CD202" s="92"/>
      <c r="CE202" s="94"/>
      <c r="CF202" s="95"/>
      <c r="CG202" s="95"/>
      <c r="CH202" s="95"/>
      <c r="CI202" s="94"/>
    </row>
    <row r="203" spans="1:87" x14ac:dyDescent="0.2">
      <c r="A203" s="8">
        <v>194</v>
      </c>
      <c r="B203" s="1125">
        <f>'Membership Record'!B204</f>
        <v>0</v>
      </c>
      <c r="C203" s="1125"/>
      <c r="D203" s="87">
        <f>'Membership Record'!G204+'Membership Record'!P204</f>
        <v>0</v>
      </c>
      <c r="E203" s="350">
        <f t="shared" ref="E203:E266" si="25">P203+V203+AB203+AH203+AN203+AT203+AZ203+BF203+BL203+BR203+BX203+CD203</f>
        <v>0</v>
      </c>
      <c r="F203" s="614">
        <f>'Membership Record'!H204+'Membership Record'!Q204</f>
        <v>0</v>
      </c>
      <c r="G203" s="615">
        <f t="shared" ref="G203:G266" si="26">R203+X203+AD203+AJ203+AP203+AV203+BB203+BH203+BN203+BT203+BZ203+CF203</f>
        <v>0</v>
      </c>
      <c r="H203" s="614">
        <f>'Membership Record'!I204+'Membership Record'!R204</f>
        <v>0</v>
      </c>
      <c r="I203" s="616">
        <f t="shared" ref="I203:I266" si="27">Q203+W203+AC203+AI203+AO203+AU203+BA203+BG203+BM203+BS203+BY203+CE203</f>
        <v>0</v>
      </c>
      <c r="J203" s="614">
        <f>'Membership Record'!J204+'Membership Record'!S204</f>
        <v>0</v>
      </c>
      <c r="K203" s="618">
        <f t="shared" ref="K203:K266" si="28">S203+Y203+AE203+AK203+AQ203+AW203+BC203+BI203+BO203+BU203+CA203+CG203</f>
        <v>0</v>
      </c>
      <c r="L203" s="618">
        <f>'Membership Record'!K204+'Membership Record'!T204</f>
        <v>0</v>
      </c>
      <c r="M203" s="615">
        <f t="shared" ref="M203:M266" si="29">T203+Z203+AF203+AL203+AR203+AX203+BD203+BJ203+BP203+BV203+CB203+CH203</f>
        <v>0</v>
      </c>
      <c r="N203" s="614">
        <f>'Membership Record'!L204+'Membership Record'!U204</f>
        <v>0</v>
      </c>
      <c r="O203" s="619">
        <f t="shared" ref="O203:O266" si="30">U203+AA203+AG203+AM203+AS203+AY203+BE203+BK203+BQ203+BW203+CC203+CI203</f>
        <v>0</v>
      </c>
      <c r="P203" s="346"/>
      <c r="Q203" s="93"/>
      <c r="R203" s="94"/>
      <c r="S203" s="94"/>
      <c r="T203" s="330"/>
      <c r="U203" s="347"/>
      <c r="V203" s="92"/>
      <c r="W203" s="94"/>
      <c r="X203" s="95"/>
      <c r="Y203" s="95"/>
      <c r="Z203" s="95"/>
      <c r="AA203" s="94"/>
      <c r="AB203" s="346"/>
      <c r="AC203" s="93"/>
      <c r="AD203" s="94"/>
      <c r="AE203" s="94"/>
      <c r="AF203" s="330"/>
      <c r="AG203" s="347"/>
      <c r="AH203" s="92"/>
      <c r="AI203" s="94"/>
      <c r="AJ203" s="95"/>
      <c r="AK203" s="95"/>
      <c r="AL203" s="95"/>
      <c r="AM203" s="94"/>
      <c r="AN203" s="346"/>
      <c r="AO203" s="93"/>
      <c r="AP203" s="94"/>
      <c r="AQ203" s="94"/>
      <c r="AR203" s="330"/>
      <c r="AS203" s="347"/>
      <c r="AT203" s="92"/>
      <c r="AU203" s="94"/>
      <c r="AV203" s="95"/>
      <c r="AW203" s="95"/>
      <c r="AX203" s="95"/>
      <c r="AY203" s="94"/>
      <c r="AZ203" s="346"/>
      <c r="BA203" s="93"/>
      <c r="BB203" s="94"/>
      <c r="BC203" s="94"/>
      <c r="BD203" s="330"/>
      <c r="BE203" s="347"/>
      <c r="BF203" s="92"/>
      <c r="BG203" s="94"/>
      <c r="BH203" s="95"/>
      <c r="BI203" s="95"/>
      <c r="BJ203" s="95"/>
      <c r="BK203" s="94"/>
      <c r="BL203" s="346"/>
      <c r="BM203" s="93"/>
      <c r="BN203" s="94"/>
      <c r="BO203" s="94"/>
      <c r="BP203" s="330"/>
      <c r="BQ203" s="347"/>
      <c r="BR203" s="92"/>
      <c r="BS203" s="94"/>
      <c r="BT203" s="95"/>
      <c r="BU203" s="95"/>
      <c r="BV203" s="95"/>
      <c r="BW203" s="94"/>
      <c r="BX203" s="346"/>
      <c r="BY203" s="93"/>
      <c r="BZ203" s="94"/>
      <c r="CA203" s="94"/>
      <c r="CB203" s="330"/>
      <c r="CC203" s="347"/>
      <c r="CD203" s="92"/>
      <c r="CE203" s="94"/>
      <c r="CF203" s="95"/>
      <c r="CG203" s="95"/>
      <c r="CH203" s="95"/>
      <c r="CI203" s="94"/>
    </row>
    <row r="204" spans="1:87" x14ac:dyDescent="0.2">
      <c r="A204" s="8">
        <v>195</v>
      </c>
      <c r="B204" s="1125">
        <f>'Membership Record'!B205</f>
        <v>0</v>
      </c>
      <c r="C204" s="1125"/>
      <c r="D204" s="87">
        <f>'Membership Record'!G205+'Membership Record'!P205</f>
        <v>0</v>
      </c>
      <c r="E204" s="350">
        <f t="shared" si="25"/>
        <v>0</v>
      </c>
      <c r="F204" s="614">
        <f>'Membership Record'!H205+'Membership Record'!Q205</f>
        <v>0</v>
      </c>
      <c r="G204" s="615">
        <f t="shared" si="26"/>
        <v>0</v>
      </c>
      <c r="H204" s="614">
        <f>'Membership Record'!I205+'Membership Record'!R205</f>
        <v>0</v>
      </c>
      <c r="I204" s="616">
        <f t="shared" si="27"/>
        <v>0</v>
      </c>
      <c r="J204" s="614">
        <f>'Membership Record'!J205+'Membership Record'!S205</f>
        <v>0</v>
      </c>
      <c r="K204" s="618">
        <f t="shared" si="28"/>
        <v>0</v>
      </c>
      <c r="L204" s="618">
        <f>'Membership Record'!K205+'Membership Record'!T205</f>
        <v>0</v>
      </c>
      <c r="M204" s="615">
        <f t="shared" si="29"/>
        <v>0</v>
      </c>
      <c r="N204" s="614">
        <f>'Membership Record'!L205+'Membership Record'!U205</f>
        <v>0</v>
      </c>
      <c r="O204" s="619">
        <f t="shared" si="30"/>
        <v>0</v>
      </c>
      <c r="P204" s="346"/>
      <c r="Q204" s="93"/>
      <c r="R204" s="94"/>
      <c r="S204" s="94"/>
      <c r="T204" s="330"/>
      <c r="U204" s="347"/>
      <c r="V204" s="92"/>
      <c r="W204" s="94"/>
      <c r="X204" s="95"/>
      <c r="Y204" s="95"/>
      <c r="Z204" s="95"/>
      <c r="AA204" s="94"/>
      <c r="AB204" s="346"/>
      <c r="AC204" s="93"/>
      <c r="AD204" s="94"/>
      <c r="AE204" s="94"/>
      <c r="AF204" s="330"/>
      <c r="AG204" s="347"/>
      <c r="AH204" s="92"/>
      <c r="AI204" s="94"/>
      <c r="AJ204" s="95"/>
      <c r="AK204" s="95"/>
      <c r="AL204" s="95"/>
      <c r="AM204" s="94"/>
      <c r="AN204" s="346"/>
      <c r="AO204" s="93"/>
      <c r="AP204" s="94"/>
      <c r="AQ204" s="94"/>
      <c r="AR204" s="330"/>
      <c r="AS204" s="347"/>
      <c r="AT204" s="92"/>
      <c r="AU204" s="94"/>
      <c r="AV204" s="95"/>
      <c r="AW204" s="95"/>
      <c r="AX204" s="95"/>
      <c r="AY204" s="94"/>
      <c r="AZ204" s="346"/>
      <c r="BA204" s="93"/>
      <c r="BB204" s="94"/>
      <c r="BC204" s="94"/>
      <c r="BD204" s="330"/>
      <c r="BE204" s="347"/>
      <c r="BF204" s="92"/>
      <c r="BG204" s="94"/>
      <c r="BH204" s="95"/>
      <c r="BI204" s="95"/>
      <c r="BJ204" s="95"/>
      <c r="BK204" s="94"/>
      <c r="BL204" s="346"/>
      <c r="BM204" s="93"/>
      <c r="BN204" s="94"/>
      <c r="BO204" s="94"/>
      <c r="BP204" s="330"/>
      <c r="BQ204" s="347"/>
      <c r="BR204" s="92"/>
      <c r="BS204" s="94"/>
      <c r="BT204" s="95"/>
      <c r="BU204" s="95"/>
      <c r="BV204" s="95"/>
      <c r="BW204" s="94"/>
      <c r="BX204" s="346"/>
      <c r="BY204" s="93"/>
      <c r="BZ204" s="94"/>
      <c r="CA204" s="94"/>
      <c r="CB204" s="330"/>
      <c r="CC204" s="347"/>
      <c r="CD204" s="92"/>
      <c r="CE204" s="94"/>
      <c r="CF204" s="95"/>
      <c r="CG204" s="95"/>
      <c r="CH204" s="95"/>
      <c r="CI204" s="94"/>
    </row>
    <row r="205" spans="1:87" x14ac:dyDescent="0.2">
      <c r="A205" s="8">
        <v>196</v>
      </c>
      <c r="B205" s="1125">
        <f>'Membership Record'!B206</f>
        <v>0</v>
      </c>
      <c r="C205" s="1125"/>
      <c r="D205" s="87">
        <f>'Membership Record'!G206+'Membership Record'!P206</f>
        <v>0</v>
      </c>
      <c r="E205" s="350">
        <f t="shared" si="25"/>
        <v>0</v>
      </c>
      <c r="F205" s="614">
        <f>'Membership Record'!H206+'Membership Record'!Q206</f>
        <v>0</v>
      </c>
      <c r="G205" s="615">
        <f t="shared" si="26"/>
        <v>0</v>
      </c>
      <c r="H205" s="614">
        <f>'Membership Record'!I206+'Membership Record'!R206</f>
        <v>0</v>
      </c>
      <c r="I205" s="616">
        <f t="shared" si="27"/>
        <v>0</v>
      </c>
      <c r="J205" s="614">
        <f>'Membership Record'!J206+'Membership Record'!S206</f>
        <v>0</v>
      </c>
      <c r="K205" s="618">
        <f t="shared" si="28"/>
        <v>0</v>
      </c>
      <c r="L205" s="618">
        <f>'Membership Record'!K206+'Membership Record'!T206</f>
        <v>0</v>
      </c>
      <c r="M205" s="615">
        <f t="shared" si="29"/>
        <v>0</v>
      </c>
      <c r="N205" s="614">
        <f>'Membership Record'!L206+'Membership Record'!U206</f>
        <v>0</v>
      </c>
      <c r="O205" s="619">
        <f t="shared" si="30"/>
        <v>0</v>
      </c>
      <c r="P205" s="346"/>
      <c r="Q205" s="93"/>
      <c r="R205" s="94"/>
      <c r="S205" s="94"/>
      <c r="T205" s="330"/>
      <c r="U205" s="347"/>
      <c r="V205" s="92"/>
      <c r="W205" s="94"/>
      <c r="X205" s="95"/>
      <c r="Y205" s="95"/>
      <c r="Z205" s="95"/>
      <c r="AA205" s="94"/>
      <c r="AB205" s="346"/>
      <c r="AC205" s="93"/>
      <c r="AD205" s="94"/>
      <c r="AE205" s="94"/>
      <c r="AF205" s="330"/>
      <c r="AG205" s="347"/>
      <c r="AH205" s="92"/>
      <c r="AI205" s="94"/>
      <c r="AJ205" s="95"/>
      <c r="AK205" s="95"/>
      <c r="AL205" s="95"/>
      <c r="AM205" s="94"/>
      <c r="AN205" s="346"/>
      <c r="AO205" s="93"/>
      <c r="AP205" s="94"/>
      <c r="AQ205" s="94"/>
      <c r="AR205" s="330"/>
      <c r="AS205" s="347"/>
      <c r="AT205" s="92"/>
      <c r="AU205" s="94"/>
      <c r="AV205" s="95"/>
      <c r="AW205" s="95"/>
      <c r="AX205" s="95"/>
      <c r="AY205" s="94"/>
      <c r="AZ205" s="346"/>
      <c r="BA205" s="93"/>
      <c r="BB205" s="94"/>
      <c r="BC205" s="94"/>
      <c r="BD205" s="330"/>
      <c r="BE205" s="347"/>
      <c r="BF205" s="92"/>
      <c r="BG205" s="94"/>
      <c r="BH205" s="95"/>
      <c r="BI205" s="95"/>
      <c r="BJ205" s="95"/>
      <c r="BK205" s="94"/>
      <c r="BL205" s="346"/>
      <c r="BM205" s="93"/>
      <c r="BN205" s="94"/>
      <c r="BO205" s="94"/>
      <c r="BP205" s="330"/>
      <c r="BQ205" s="347"/>
      <c r="BR205" s="92"/>
      <c r="BS205" s="94"/>
      <c r="BT205" s="95"/>
      <c r="BU205" s="95"/>
      <c r="BV205" s="95"/>
      <c r="BW205" s="94"/>
      <c r="BX205" s="346"/>
      <c r="BY205" s="93"/>
      <c r="BZ205" s="94"/>
      <c r="CA205" s="94"/>
      <c r="CB205" s="330"/>
      <c r="CC205" s="347"/>
      <c r="CD205" s="92"/>
      <c r="CE205" s="94"/>
      <c r="CF205" s="95"/>
      <c r="CG205" s="95"/>
      <c r="CH205" s="95"/>
      <c r="CI205" s="94"/>
    </row>
    <row r="206" spans="1:87" x14ac:dyDescent="0.2">
      <c r="A206" s="8">
        <v>197</v>
      </c>
      <c r="B206" s="1125">
        <f>'Membership Record'!B207</f>
        <v>0</v>
      </c>
      <c r="C206" s="1125"/>
      <c r="D206" s="87">
        <f>'Membership Record'!G207+'Membership Record'!P207</f>
        <v>0</v>
      </c>
      <c r="E206" s="350">
        <f t="shared" si="25"/>
        <v>0</v>
      </c>
      <c r="F206" s="614">
        <f>'Membership Record'!H207+'Membership Record'!Q207</f>
        <v>0</v>
      </c>
      <c r="G206" s="615">
        <f t="shared" si="26"/>
        <v>0</v>
      </c>
      <c r="H206" s="614">
        <f>'Membership Record'!I207+'Membership Record'!R207</f>
        <v>0</v>
      </c>
      <c r="I206" s="616">
        <f t="shared" si="27"/>
        <v>0</v>
      </c>
      <c r="J206" s="614">
        <f>'Membership Record'!J207+'Membership Record'!S207</f>
        <v>0</v>
      </c>
      <c r="K206" s="618">
        <f t="shared" si="28"/>
        <v>0</v>
      </c>
      <c r="L206" s="618">
        <f>'Membership Record'!K207+'Membership Record'!T207</f>
        <v>0</v>
      </c>
      <c r="M206" s="615">
        <f t="shared" si="29"/>
        <v>0</v>
      </c>
      <c r="N206" s="614">
        <f>'Membership Record'!L207+'Membership Record'!U207</f>
        <v>0</v>
      </c>
      <c r="O206" s="619">
        <f t="shared" si="30"/>
        <v>0</v>
      </c>
      <c r="P206" s="346"/>
      <c r="Q206" s="93"/>
      <c r="R206" s="94"/>
      <c r="S206" s="94"/>
      <c r="T206" s="330"/>
      <c r="U206" s="347"/>
      <c r="V206" s="92"/>
      <c r="W206" s="94"/>
      <c r="X206" s="95"/>
      <c r="Y206" s="95"/>
      <c r="Z206" s="95"/>
      <c r="AA206" s="94"/>
      <c r="AB206" s="346"/>
      <c r="AC206" s="93"/>
      <c r="AD206" s="94"/>
      <c r="AE206" s="94"/>
      <c r="AF206" s="330"/>
      <c r="AG206" s="347"/>
      <c r="AH206" s="92"/>
      <c r="AI206" s="94"/>
      <c r="AJ206" s="95"/>
      <c r="AK206" s="95"/>
      <c r="AL206" s="95"/>
      <c r="AM206" s="94"/>
      <c r="AN206" s="346"/>
      <c r="AO206" s="93"/>
      <c r="AP206" s="94"/>
      <c r="AQ206" s="94"/>
      <c r="AR206" s="330"/>
      <c r="AS206" s="347"/>
      <c r="AT206" s="92"/>
      <c r="AU206" s="94"/>
      <c r="AV206" s="95"/>
      <c r="AW206" s="95"/>
      <c r="AX206" s="95"/>
      <c r="AY206" s="94"/>
      <c r="AZ206" s="346"/>
      <c r="BA206" s="93"/>
      <c r="BB206" s="94"/>
      <c r="BC206" s="94"/>
      <c r="BD206" s="330"/>
      <c r="BE206" s="347"/>
      <c r="BF206" s="92"/>
      <c r="BG206" s="94"/>
      <c r="BH206" s="95"/>
      <c r="BI206" s="95"/>
      <c r="BJ206" s="95"/>
      <c r="BK206" s="94"/>
      <c r="BL206" s="346"/>
      <c r="BM206" s="93"/>
      <c r="BN206" s="94"/>
      <c r="BO206" s="94"/>
      <c r="BP206" s="330"/>
      <c r="BQ206" s="347"/>
      <c r="BR206" s="92"/>
      <c r="BS206" s="94"/>
      <c r="BT206" s="95"/>
      <c r="BU206" s="95"/>
      <c r="BV206" s="95"/>
      <c r="BW206" s="94"/>
      <c r="BX206" s="346"/>
      <c r="BY206" s="93"/>
      <c r="BZ206" s="94"/>
      <c r="CA206" s="94"/>
      <c r="CB206" s="330"/>
      <c r="CC206" s="347"/>
      <c r="CD206" s="92"/>
      <c r="CE206" s="94"/>
      <c r="CF206" s="95"/>
      <c r="CG206" s="95"/>
      <c r="CH206" s="95"/>
      <c r="CI206" s="94"/>
    </row>
    <row r="207" spans="1:87" x14ac:dyDescent="0.2">
      <c r="A207" s="8">
        <v>198</v>
      </c>
      <c r="B207" s="1125">
        <f>'Membership Record'!B208</f>
        <v>0</v>
      </c>
      <c r="C207" s="1125"/>
      <c r="D207" s="87">
        <f>'Membership Record'!G208+'Membership Record'!P208</f>
        <v>0</v>
      </c>
      <c r="E207" s="350">
        <f t="shared" si="25"/>
        <v>0</v>
      </c>
      <c r="F207" s="614">
        <f>'Membership Record'!H208+'Membership Record'!Q208</f>
        <v>0</v>
      </c>
      <c r="G207" s="615">
        <f t="shared" si="26"/>
        <v>0</v>
      </c>
      <c r="H207" s="614">
        <f>'Membership Record'!I208+'Membership Record'!R208</f>
        <v>0</v>
      </c>
      <c r="I207" s="616">
        <f t="shared" si="27"/>
        <v>0</v>
      </c>
      <c r="J207" s="614">
        <f>'Membership Record'!J208+'Membership Record'!S208</f>
        <v>0</v>
      </c>
      <c r="K207" s="618">
        <f t="shared" si="28"/>
        <v>0</v>
      </c>
      <c r="L207" s="618">
        <f>'Membership Record'!K208+'Membership Record'!T208</f>
        <v>0</v>
      </c>
      <c r="M207" s="615">
        <f t="shared" si="29"/>
        <v>0</v>
      </c>
      <c r="N207" s="614">
        <f>'Membership Record'!L208+'Membership Record'!U208</f>
        <v>0</v>
      </c>
      <c r="O207" s="619">
        <f t="shared" si="30"/>
        <v>0</v>
      </c>
      <c r="P207" s="346"/>
      <c r="Q207" s="93"/>
      <c r="R207" s="94"/>
      <c r="S207" s="94"/>
      <c r="T207" s="330"/>
      <c r="U207" s="347"/>
      <c r="V207" s="92"/>
      <c r="W207" s="94"/>
      <c r="X207" s="95"/>
      <c r="Y207" s="95"/>
      <c r="Z207" s="95"/>
      <c r="AA207" s="94"/>
      <c r="AB207" s="346"/>
      <c r="AC207" s="93"/>
      <c r="AD207" s="94"/>
      <c r="AE207" s="94"/>
      <c r="AF207" s="330"/>
      <c r="AG207" s="347"/>
      <c r="AH207" s="92"/>
      <c r="AI207" s="94"/>
      <c r="AJ207" s="95"/>
      <c r="AK207" s="95"/>
      <c r="AL207" s="95"/>
      <c r="AM207" s="94"/>
      <c r="AN207" s="346"/>
      <c r="AO207" s="93"/>
      <c r="AP207" s="94"/>
      <c r="AQ207" s="94"/>
      <c r="AR207" s="330"/>
      <c r="AS207" s="347"/>
      <c r="AT207" s="92"/>
      <c r="AU207" s="94"/>
      <c r="AV207" s="95"/>
      <c r="AW207" s="95"/>
      <c r="AX207" s="95"/>
      <c r="AY207" s="94"/>
      <c r="AZ207" s="346"/>
      <c r="BA207" s="93"/>
      <c r="BB207" s="94"/>
      <c r="BC207" s="94"/>
      <c r="BD207" s="330"/>
      <c r="BE207" s="347"/>
      <c r="BF207" s="92"/>
      <c r="BG207" s="94"/>
      <c r="BH207" s="95"/>
      <c r="BI207" s="95"/>
      <c r="BJ207" s="95"/>
      <c r="BK207" s="94"/>
      <c r="BL207" s="346"/>
      <c r="BM207" s="93"/>
      <c r="BN207" s="94"/>
      <c r="BO207" s="94"/>
      <c r="BP207" s="330"/>
      <c r="BQ207" s="347"/>
      <c r="BR207" s="92"/>
      <c r="BS207" s="94"/>
      <c r="BT207" s="95"/>
      <c r="BU207" s="95"/>
      <c r="BV207" s="95"/>
      <c r="BW207" s="94"/>
      <c r="BX207" s="346"/>
      <c r="BY207" s="93"/>
      <c r="BZ207" s="94"/>
      <c r="CA207" s="94"/>
      <c r="CB207" s="330"/>
      <c r="CC207" s="347"/>
      <c r="CD207" s="92"/>
      <c r="CE207" s="94"/>
      <c r="CF207" s="95"/>
      <c r="CG207" s="95"/>
      <c r="CH207" s="95"/>
      <c r="CI207" s="94"/>
    </row>
    <row r="208" spans="1:87" x14ac:dyDescent="0.2">
      <c r="A208" s="8">
        <v>199</v>
      </c>
      <c r="B208" s="1125">
        <f>'Membership Record'!B209</f>
        <v>0</v>
      </c>
      <c r="C208" s="1125"/>
      <c r="D208" s="87">
        <f>'Membership Record'!G209+'Membership Record'!P209</f>
        <v>0</v>
      </c>
      <c r="E208" s="350">
        <f t="shared" si="25"/>
        <v>0</v>
      </c>
      <c r="F208" s="614">
        <f>'Membership Record'!H209+'Membership Record'!Q209</f>
        <v>0</v>
      </c>
      <c r="G208" s="615">
        <f t="shared" si="26"/>
        <v>0</v>
      </c>
      <c r="H208" s="614">
        <f>'Membership Record'!I209+'Membership Record'!R209</f>
        <v>0</v>
      </c>
      <c r="I208" s="616">
        <f t="shared" si="27"/>
        <v>0</v>
      </c>
      <c r="J208" s="614">
        <f>'Membership Record'!J209+'Membership Record'!S209</f>
        <v>0</v>
      </c>
      <c r="K208" s="618">
        <f t="shared" si="28"/>
        <v>0</v>
      </c>
      <c r="L208" s="618">
        <f>'Membership Record'!K209+'Membership Record'!T209</f>
        <v>0</v>
      </c>
      <c r="M208" s="615">
        <f t="shared" si="29"/>
        <v>0</v>
      </c>
      <c r="N208" s="614">
        <f>'Membership Record'!L209+'Membership Record'!U209</f>
        <v>0</v>
      </c>
      <c r="O208" s="619">
        <f t="shared" si="30"/>
        <v>0</v>
      </c>
      <c r="P208" s="346"/>
      <c r="Q208" s="93"/>
      <c r="R208" s="94"/>
      <c r="S208" s="94"/>
      <c r="T208" s="330"/>
      <c r="U208" s="347"/>
      <c r="V208" s="92"/>
      <c r="W208" s="94"/>
      <c r="X208" s="95"/>
      <c r="Y208" s="95"/>
      <c r="Z208" s="95"/>
      <c r="AA208" s="94"/>
      <c r="AB208" s="346"/>
      <c r="AC208" s="93"/>
      <c r="AD208" s="94"/>
      <c r="AE208" s="94"/>
      <c r="AF208" s="330"/>
      <c r="AG208" s="347"/>
      <c r="AH208" s="92"/>
      <c r="AI208" s="94"/>
      <c r="AJ208" s="95"/>
      <c r="AK208" s="95"/>
      <c r="AL208" s="95"/>
      <c r="AM208" s="94"/>
      <c r="AN208" s="346"/>
      <c r="AO208" s="93"/>
      <c r="AP208" s="94"/>
      <c r="AQ208" s="94"/>
      <c r="AR208" s="330"/>
      <c r="AS208" s="347"/>
      <c r="AT208" s="92"/>
      <c r="AU208" s="94"/>
      <c r="AV208" s="95"/>
      <c r="AW208" s="95"/>
      <c r="AX208" s="95"/>
      <c r="AY208" s="94"/>
      <c r="AZ208" s="346"/>
      <c r="BA208" s="93"/>
      <c r="BB208" s="94"/>
      <c r="BC208" s="94"/>
      <c r="BD208" s="330"/>
      <c r="BE208" s="347"/>
      <c r="BF208" s="92"/>
      <c r="BG208" s="94"/>
      <c r="BH208" s="95"/>
      <c r="BI208" s="95"/>
      <c r="BJ208" s="95"/>
      <c r="BK208" s="94"/>
      <c r="BL208" s="346"/>
      <c r="BM208" s="93"/>
      <c r="BN208" s="94"/>
      <c r="BO208" s="94"/>
      <c r="BP208" s="330"/>
      <c r="BQ208" s="347"/>
      <c r="BR208" s="92"/>
      <c r="BS208" s="94"/>
      <c r="BT208" s="95"/>
      <c r="BU208" s="95"/>
      <c r="BV208" s="95"/>
      <c r="BW208" s="94"/>
      <c r="BX208" s="346"/>
      <c r="BY208" s="93"/>
      <c r="BZ208" s="94"/>
      <c r="CA208" s="94"/>
      <c r="CB208" s="330"/>
      <c r="CC208" s="347"/>
      <c r="CD208" s="92"/>
      <c r="CE208" s="94"/>
      <c r="CF208" s="95"/>
      <c r="CG208" s="95"/>
      <c r="CH208" s="95"/>
      <c r="CI208" s="94"/>
    </row>
    <row r="209" spans="1:87" x14ac:dyDescent="0.2">
      <c r="A209" s="8">
        <v>200</v>
      </c>
      <c r="B209" s="1125">
        <f>'Membership Record'!B210</f>
        <v>0</v>
      </c>
      <c r="C209" s="1125"/>
      <c r="D209" s="87">
        <f>'Membership Record'!G210+'Membership Record'!P210</f>
        <v>0</v>
      </c>
      <c r="E209" s="350">
        <f t="shared" si="25"/>
        <v>0</v>
      </c>
      <c r="F209" s="614">
        <f>'Membership Record'!H210+'Membership Record'!Q210</f>
        <v>0</v>
      </c>
      <c r="G209" s="615">
        <f t="shared" si="26"/>
        <v>0</v>
      </c>
      <c r="H209" s="614">
        <f>'Membership Record'!I210+'Membership Record'!R210</f>
        <v>0</v>
      </c>
      <c r="I209" s="616">
        <f t="shared" si="27"/>
        <v>0</v>
      </c>
      <c r="J209" s="614">
        <f>'Membership Record'!J210+'Membership Record'!S210</f>
        <v>0</v>
      </c>
      <c r="K209" s="618">
        <f t="shared" si="28"/>
        <v>0</v>
      </c>
      <c r="L209" s="618">
        <f>'Membership Record'!K210+'Membership Record'!T210</f>
        <v>0</v>
      </c>
      <c r="M209" s="615">
        <f t="shared" si="29"/>
        <v>0</v>
      </c>
      <c r="N209" s="614">
        <f>'Membership Record'!L210+'Membership Record'!U210</f>
        <v>0</v>
      </c>
      <c r="O209" s="619">
        <f t="shared" si="30"/>
        <v>0</v>
      </c>
      <c r="P209" s="346"/>
      <c r="Q209" s="93"/>
      <c r="R209" s="94"/>
      <c r="S209" s="94"/>
      <c r="T209" s="330"/>
      <c r="U209" s="347"/>
      <c r="V209" s="92"/>
      <c r="W209" s="94"/>
      <c r="X209" s="95"/>
      <c r="Y209" s="95"/>
      <c r="Z209" s="95"/>
      <c r="AA209" s="94"/>
      <c r="AB209" s="346"/>
      <c r="AC209" s="93"/>
      <c r="AD209" s="94"/>
      <c r="AE209" s="94"/>
      <c r="AF209" s="330"/>
      <c r="AG209" s="347"/>
      <c r="AH209" s="92"/>
      <c r="AI209" s="94"/>
      <c r="AJ209" s="95"/>
      <c r="AK209" s="95"/>
      <c r="AL209" s="95"/>
      <c r="AM209" s="94"/>
      <c r="AN209" s="346"/>
      <c r="AO209" s="93"/>
      <c r="AP209" s="94"/>
      <c r="AQ209" s="94"/>
      <c r="AR209" s="330"/>
      <c r="AS209" s="347"/>
      <c r="AT209" s="92"/>
      <c r="AU209" s="94"/>
      <c r="AV209" s="95"/>
      <c r="AW209" s="95"/>
      <c r="AX209" s="95"/>
      <c r="AY209" s="94"/>
      <c r="AZ209" s="346"/>
      <c r="BA209" s="93"/>
      <c r="BB209" s="94"/>
      <c r="BC209" s="94"/>
      <c r="BD209" s="330"/>
      <c r="BE209" s="347"/>
      <c r="BF209" s="92"/>
      <c r="BG209" s="94"/>
      <c r="BH209" s="95"/>
      <c r="BI209" s="95"/>
      <c r="BJ209" s="95"/>
      <c r="BK209" s="94"/>
      <c r="BL209" s="346"/>
      <c r="BM209" s="93"/>
      <c r="BN209" s="94"/>
      <c r="BO209" s="94"/>
      <c r="BP209" s="330"/>
      <c r="BQ209" s="347"/>
      <c r="BR209" s="92"/>
      <c r="BS209" s="94"/>
      <c r="BT209" s="95"/>
      <c r="BU209" s="95"/>
      <c r="BV209" s="95"/>
      <c r="BW209" s="94"/>
      <c r="BX209" s="346"/>
      <c r="BY209" s="93"/>
      <c r="BZ209" s="94"/>
      <c r="CA209" s="94"/>
      <c r="CB209" s="330"/>
      <c r="CC209" s="347"/>
      <c r="CD209" s="92"/>
      <c r="CE209" s="94"/>
      <c r="CF209" s="95"/>
      <c r="CG209" s="95"/>
      <c r="CH209" s="95"/>
      <c r="CI209" s="94"/>
    </row>
    <row r="210" spans="1:87" x14ac:dyDescent="0.2">
      <c r="A210" s="8">
        <v>201</v>
      </c>
      <c r="B210" s="1125">
        <f>'Membership Record'!B211</f>
        <v>0</v>
      </c>
      <c r="C210" s="1125"/>
      <c r="D210" s="87">
        <f>'Membership Record'!G211+'Membership Record'!P211</f>
        <v>0</v>
      </c>
      <c r="E210" s="350">
        <f t="shared" si="25"/>
        <v>0</v>
      </c>
      <c r="F210" s="614">
        <f>'Membership Record'!H211+'Membership Record'!Q211</f>
        <v>0</v>
      </c>
      <c r="G210" s="615">
        <f t="shared" si="26"/>
        <v>0</v>
      </c>
      <c r="H210" s="614">
        <f>'Membership Record'!I211+'Membership Record'!R211</f>
        <v>0</v>
      </c>
      <c r="I210" s="616">
        <f t="shared" si="27"/>
        <v>0</v>
      </c>
      <c r="J210" s="614">
        <f>'Membership Record'!J211+'Membership Record'!S211</f>
        <v>0</v>
      </c>
      <c r="K210" s="618">
        <f t="shared" si="28"/>
        <v>0</v>
      </c>
      <c r="L210" s="618">
        <f>'Membership Record'!K211+'Membership Record'!T211</f>
        <v>0</v>
      </c>
      <c r="M210" s="615">
        <f t="shared" si="29"/>
        <v>0</v>
      </c>
      <c r="N210" s="614">
        <f>'Membership Record'!L211+'Membership Record'!U211</f>
        <v>0</v>
      </c>
      <c r="O210" s="619">
        <f t="shared" si="30"/>
        <v>0</v>
      </c>
      <c r="P210" s="346"/>
      <c r="Q210" s="93"/>
      <c r="R210" s="94"/>
      <c r="S210" s="94"/>
      <c r="T210" s="330"/>
      <c r="U210" s="347"/>
      <c r="V210" s="92"/>
      <c r="W210" s="94"/>
      <c r="X210" s="95"/>
      <c r="Y210" s="95"/>
      <c r="Z210" s="95"/>
      <c r="AA210" s="94"/>
      <c r="AB210" s="346"/>
      <c r="AC210" s="93"/>
      <c r="AD210" s="94"/>
      <c r="AE210" s="94"/>
      <c r="AF210" s="330"/>
      <c r="AG210" s="347"/>
      <c r="AH210" s="92"/>
      <c r="AI210" s="94"/>
      <c r="AJ210" s="95"/>
      <c r="AK210" s="95"/>
      <c r="AL210" s="95"/>
      <c r="AM210" s="94"/>
      <c r="AN210" s="346"/>
      <c r="AO210" s="93"/>
      <c r="AP210" s="94"/>
      <c r="AQ210" s="94"/>
      <c r="AR210" s="330"/>
      <c r="AS210" s="347"/>
      <c r="AT210" s="92"/>
      <c r="AU210" s="94"/>
      <c r="AV210" s="95"/>
      <c r="AW210" s="95"/>
      <c r="AX210" s="95"/>
      <c r="AY210" s="94"/>
      <c r="AZ210" s="346"/>
      <c r="BA210" s="93"/>
      <c r="BB210" s="94"/>
      <c r="BC210" s="94"/>
      <c r="BD210" s="330"/>
      <c r="BE210" s="347"/>
      <c r="BF210" s="92"/>
      <c r="BG210" s="94"/>
      <c r="BH210" s="95"/>
      <c r="BI210" s="95"/>
      <c r="BJ210" s="95"/>
      <c r="BK210" s="94"/>
      <c r="BL210" s="346"/>
      <c r="BM210" s="93"/>
      <c r="BN210" s="94"/>
      <c r="BO210" s="94"/>
      <c r="BP210" s="330"/>
      <c r="BQ210" s="347"/>
      <c r="BR210" s="92"/>
      <c r="BS210" s="94"/>
      <c r="BT210" s="95"/>
      <c r="BU210" s="95"/>
      <c r="BV210" s="95"/>
      <c r="BW210" s="94"/>
      <c r="BX210" s="346"/>
      <c r="BY210" s="93"/>
      <c r="BZ210" s="94"/>
      <c r="CA210" s="94"/>
      <c r="CB210" s="330"/>
      <c r="CC210" s="347"/>
      <c r="CD210" s="92"/>
      <c r="CE210" s="94"/>
      <c r="CF210" s="95"/>
      <c r="CG210" s="95"/>
      <c r="CH210" s="95"/>
      <c r="CI210" s="94"/>
    </row>
    <row r="211" spans="1:87" x14ac:dyDescent="0.2">
      <c r="A211" s="8">
        <v>202</v>
      </c>
      <c r="B211" s="1125">
        <f>'Membership Record'!B212</f>
        <v>0</v>
      </c>
      <c r="C211" s="1125"/>
      <c r="D211" s="87">
        <f>'Membership Record'!G212+'Membership Record'!P212</f>
        <v>0</v>
      </c>
      <c r="E211" s="350">
        <f t="shared" si="25"/>
        <v>0</v>
      </c>
      <c r="F211" s="614">
        <f>'Membership Record'!H212+'Membership Record'!Q212</f>
        <v>0</v>
      </c>
      <c r="G211" s="615">
        <f t="shared" si="26"/>
        <v>0</v>
      </c>
      <c r="H211" s="614">
        <f>'Membership Record'!I212+'Membership Record'!R212</f>
        <v>0</v>
      </c>
      <c r="I211" s="616">
        <f t="shared" si="27"/>
        <v>0</v>
      </c>
      <c r="J211" s="614">
        <f>'Membership Record'!J212+'Membership Record'!S212</f>
        <v>0</v>
      </c>
      <c r="K211" s="618">
        <f t="shared" si="28"/>
        <v>0</v>
      </c>
      <c r="L211" s="618">
        <f>'Membership Record'!K212+'Membership Record'!T212</f>
        <v>0</v>
      </c>
      <c r="M211" s="615">
        <f t="shared" si="29"/>
        <v>0</v>
      </c>
      <c r="N211" s="614">
        <f>'Membership Record'!L212+'Membership Record'!U212</f>
        <v>0</v>
      </c>
      <c r="O211" s="619">
        <f t="shared" si="30"/>
        <v>0</v>
      </c>
      <c r="P211" s="346"/>
      <c r="Q211" s="93"/>
      <c r="R211" s="94"/>
      <c r="S211" s="94"/>
      <c r="T211" s="330"/>
      <c r="U211" s="347"/>
      <c r="V211" s="92"/>
      <c r="W211" s="94"/>
      <c r="X211" s="95"/>
      <c r="Y211" s="95"/>
      <c r="Z211" s="95"/>
      <c r="AA211" s="94"/>
      <c r="AB211" s="346"/>
      <c r="AC211" s="93"/>
      <c r="AD211" s="94"/>
      <c r="AE211" s="94"/>
      <c r="AF211" s="330"/>
      <c r="AG211" s="347"/>
      <c r="AH211" s="92"/>
      <c r="AI211" s="94"/>
      <c r="AJ211" s="95"/>
      <c r="AK211" s="95"/>
      <c r="AL211" s="95"/>
      <c r="AM211" s="94"/>
      <c r="AN211" s="346"/>
      <c r="AO211" s="93"/>
      <c r="AP211" s="94"/>
      <c r="AQ211" s="94"/>
      <c r="AR211" s="330"/>
      <c r="AS211" s="347"/>
      <c r="AT211" s="92"/>
      <c r="AU211" s="94"/>
      <c r="AV211" s="95"/>
      <c r="AW211" s="95"/>
      <c r="AX211" s="95"/>
      <c r="AY211" s="94"/>
      <c r="AZ211" s="346"/>
      <c r="BA211" s="93"/>
      <c r="BB211" s="94"/>
      <c r="BC211" s="94"/>
      <c r="BD211" s="330"/>
      <c r="BE211" s="347"/>
      <c r="BF211" s="92"/>
      <c r="BG211" s="94"/>
      <c r="BH211" s="95"/>
      <c r="BI211" s="95"/>
      <c r="BJ211" s="95"/>
      <c r="BK211" s="94"/>
      <c r="BL211" s="346"/>
      <c r="BM211" s="93"/>
      <c r="BN211" s="94"/>
      <c r="BO211" s="94"/>
      <c r="BP211" s="330"/>
      <c r="BQ211" s="347"/>
      <c r="BR211" s="92"/>
      <c r="BS211" s="94"/>
      <c r="BT211" s="95"/>
      <c r="BU211" s="95"/>
      <c r="BV211" s="95"/>
      <c r="BW211" s="94"/>
      <c r="BX211" s="346"/>
      <c r="BY211" s="93"/>
      <c r="BZ211" s="94"/>
      <c r="CA211" s="94"/>
      <c r="CB211" s="330"/>
      <c r="CC211" s="347"/>
      <c r="CD211" s="92"/>
      <c r="CE211" s="94"/>
      <c r="CF211" s="95"/>
      <c r="CG211" s="95"/>
      <c r="CH211" s="95"/>
      <c r="CI211" s="94"/>
    </row>
    <row r="212" spans="1:87" x14ac:dyDescent="0.2">
      <c r="A212" s="8">
        <v>203</v>
      </c>
      <c r="B212" s="1125">
        <f>'Membership Record'!B213</f>
        <v>0</v>
      </c>
      <c r="C212" s="1125"/>
      <c r="D212" s="87">
        <f>'Membership Record'!G213+'Membership Record'!P213</f>
        <v>0</v>
      </c>
      <c r="E212" s="350">
        <f t="shared" si="25"/>
        <v>0</v>
      </c>
      <c r="F212" s="614">
        <f>'Membership Record'!H213+'Membership Record'!Q213</f>
        <v>0</v>
      </c>
      <c r="G212" s="615">
        <f t="shared" si="26"/>
        <v>0</v>
      </c>
      <c r="H212" s="614">
        <f>'Membership Record'!I213+'Membership Record'!R213</f>
        <v>0</v>
      </c>
      <c r="I212" s="616">
        <f t="shared" si="27"/>
        <v>0</v>
      </c>
      <c r="J212" s="614">
        <f>'Membership Record'!J213+'Membership Record'!S213</f>
        <v>0</v>
      </c>
      <c r="K212" s="618">
        <f t="shared" si="28"/>
        <v>0</v>
      </c>
      <c r="L212" s="618">
        <f>'Membership Record'!K213+'Membership Record'!T213</f>
        <v>0</v>
      </c>
      <c r="M212" s="615">
        <f t="shared" si="29"/>
        <v>0</v>
      </c>
      <c r="N212" s="614">
        <f>'Membership Record'!L213+'Membership Record'!U213</f>
        <v>0</v>
      </c>
      <c r="O212" s="619">
        <f t="shared" si="30"/>
        <v>0</v>
      </c>
      <c r="P212" s="346"/>
      <c r="Q212" s="93"/>
      <c r="R212" s="94"/>
      <c r="S212" s="94"/>
      <c r="T212" s="330"/>
      <c r="U212" s="347"/>
      <c r="V212" s="92"/>
      <c r="W212" s="94"/>
      <c r="X212" s="95"/>
      <c r="Y212" s="95"/>
      <c r="Z212" s="95"/>
      <c r="AA212" s="94"/>
      <c r="AB212" s="346"/>
      <c r="AC212" s="93"/>
      <c r="AD212" s="94"/>
      <c r="AE212" s="94"/>
      <c r="AF212" s="330"/>
      <c r="AG212" s="347"/>
      <c r="AH212" s="92"/>
      <c r="AI212" s="94"/>
      <c r="AJ212" s="95"/>
      <c r="AK212" s="95"/>
      <c r="AL212" s="95"/>
      <c r="AM212" s="94"/>
      <c r="AN212" s="346"/>
      <c r="AO212" s="93"/>
      <c r="AP212" s="94"/>
      <c r="AQ212" s="94"/>
      <c r="AR212" s="330"/>
      <c r="AS212" s="347"/>
      <c r="AT212" s="92"/>
      <c r="AU212" s="94"/>
      <c r="AV212" s="95"/>
      <c r="AW212" s="95"/>
      <c r="AX212" s="95"/>
      <c r="AY212" s="94"/>
      <c r="AZ212" s="346"/>
      <c r="BA212" s="93"/>
      <c r="BB212" s="94"/>
      <c r="BC212" s="94"/>
      <c r="BD212" s="330"/>
      <c r="BE212" s="347"/>
      <c r="BF212" s="92"/>
      <c r="BG212" s="94"/>
      <c r="BH212" s="95"/>
      <c r="BI212" s="95"/>
      <c r="BJ212" s="95"/>
      <c r="BK212" s="94"/>
      <c r="BL212" s="346"/>
      <c r="BM212" s="93"/>
      <c r="BN212" s="94"/>
      <c r="BO212" s="94"/>
      <c r="BP212" s="330"/>
      <c r="BQ212" s="347"/>
      <c r="BR212" s="92"/>
      <c r="BS212" s="94"/>
      <c r="BT212" s="95"/>
      <c r="BU212" s="95"/>
      <c r="BV212" s="95"/>
      <c r="BW212" s="94"/>
      <c r="BX212" s="346"/>
      <c r="BY212" s="93"/>
      <c r="BZ212" s="94"/>
      <c r="CA212" s="94"/>
      <c r="CB212" s="330"/>
      <c r="CC212" s="347"/>
      <c r="CD212" s="92"/>
      <c r="CE212" s="94"/>
      <c r="CF212" s="95"/>
      <c r="CG212" s="95"/>
      <c r="CH212" s="95"/>
      <c r="CI212" s="94"/>
    </row>
    <row r="213" spans="1:87" x14ac:dyDescent="0.2">
      <c r="A213" s="8">
        <v>204</v>
      </c>
      <c r="B213" s="1125">
        <f>'Membership Record'!B214</f>
        <v>0</v>
      </c>
      <c r="C213" s="1125"/>
      <c r="D213" s="87">
        <f>'Membership Record'!G214+'Membership Record'!P214</f>
        <v>0</v>
      </c>
      <c r="E213" s="350">
        <f t="shared" si="25"/>
        <v>0</v>
      </c>
      <c r="F213" s="614">
        <f>'Membership Record'!H214+'Membership Record'!Q214</f>
        <v>0</v>
      </c>
      <c r="G213" s="615">
        <f t="shared" si="26"/>
        <v>0</v>
      </c>
      <c r="H213" s="614">
        <f>'Membership Record'!I214+'Membership Record'!R214</f>
        <v>0</v>
      </c>
      <c r="I213" s="616">
        <f t="shared" si="27"/>
        <v>0</v>
      </c>
      <c r="J213" s="614">
        <f>'Membership Record'!J214+'Membership Record'!S214</f>
        <v>0</v>
      </c>
      <c r="K213" s="618">
        <f t="shared" si="28"/>
        <v>0</v>
      </c>
      <c r="L213" s="618">
        <f>'Membership Record'!K214+'Membership Record'!T214</f>
        <v>0</v>
      </c>
      <c r="M213" s="615">
        <f t="shared" si="29"/>
        <v>0</v>
      </c>
      <c r="N213" s="614">
        <f>'Membership Record'!L214+'Membership Record'!U214</f>
        <v>0</v>
      </c>
      <c r="O213" s="619">
        <f t="shared" si="30"/>
        <v>0</v>
      </c>
      <c r="P213" s="346"/>
      <c r="Q213" s="93"/>
      <c r="R213" s="94"/>
      <c r="S213" s="94"/>
      <c r="T213" s="330"/>
      <c r="U213" s="347"/>
      <c r="V213" s="92"/>
      <c r="W213" s="94"/>
      <c r="X213" s="95"/>
      <c r="Y213" s="95"/>
      <c r="Z213" s="95"/>
      <c r="AA213" s="94"/>
      <c r="AB213" s="346"/>
      <c r="AC213" s="93"/>
      <c r="AD213" s="94"/>
      <c r="AE213" s="94"/>
      <c r="AF213" s="330"/>
      <c r="AG213" s="347"/>
      <c r="AH213" s="92"/>
      <c r="AI213" s="94"/>
      <c r="AJ213" s="95"/>
      <c r="AK213" s="95"/>
      <c r="AL213" s="95"/>
      <c r="AM213" s="94"/>
      <c r="AN213" s="346"/>
      <c r="AO213" s="93"/>
      <c r="AP213" s="94"/>
      <c r="AQ213" s="94"/>
      <c r="AR213" s="330"/>
      <c r="AS213" s="347"/>
      <c r="AT213" s="92"/>
      <c r="AU213" s="94"/>
      <c r="AV213" s="95"/>
      <c r="AW213" s="95"/>
      <c r="AX213" s="95"/>
      <c r="AY213" s="94"/>
      <c r="AZ213" s="346"/>
      <c r="BA213" s="93"/>
      <c r="BB213" s="94"/>
      <c r="BC213" s="94"/>
      <c r="BD213" s="330"/>
      <c r="BE213" s="347"/>
      <c r="BF213" s="92"/>
      <c r="BG213" s="94"/>
      <c r="BH213" s="95"/>
      <c r="BI213" s="95"/>
      <c r="BJ213" s="95"/>
      <c r="BK213" s="94"/>
      <c r="BL213" s="346"/>
      <c r="BM213" s="93"/>
      <c r="BN213" s="94"/>
      <c r="BO213" s="94"/>
      <c r="BP213" s="330"/>
      <c r="BQ213" s="347"/>
      <c r="BR213" s="92"/>
      <c r="BS213" s="94"/>
      <c r="BT213" s="95"/>
      <c r="BU213" s="95"/>
      <c r="BV213" s="95"/>
      <c r="BW213" s="94"/>
      <c r="BX213" s="346"/>
      <c r="BY213" s="93"/>
      <c r="BZ213" s="94"/>
      <c r="CA213" s="94"/>
      <c r="CB213" s="330"/>
      <c r="CC213" s="347"/>
      <c r="CD213" s="92"/>
      <c r="CE213" s="94"/>
      <c r="CF213" s="95"/>
      <c r="CG213" s="95"/>
      <c r="CH213" s="95"/>
      <c r="CI213" s="94"/>
    </row>
    <row r="214" spans="1:87" x14ac:dyDescent="0.2">
      <c r="A214" s="8">
        <v>205</v>
      </c>
      <c r="B214" s="1125">
        <f>'Membership Record'!B215</f>
        <v>0</v>
      </c>
      <c r="C214" s="1125"/>
      <c r="D214" s="87">
        <f>'Membership Record'!G215+'Membership Record'!P215</f>
        <v>0</v>
      </c>
      <c r="E214" s="350">
        <f t="shared" si="25"/>
        <v>0</v>
      </c>
      <c r="F214" s="614">
        <f>'Membership Record'!H215+'Membership Record'!Q215</f>
        <v>0</v>
      </c>
      <c r="G214" s="615">
        <f t="shared" si="26"/>
        <v>0</v>
      </c>
      <c r="H214" s="614">
        <f>'Membership Record'!I215+'Membership Record'!R215</f>
        <v>0</v>
      </c>
      <c r="I214" s="616">
        <f t="shared" si="27"/>
        <v>0</v>
      </c>
      <c r="J214" s="614">
        <f>'Membership Record'!J215+'Membership Record'!S215</f>
        <v>0</v>
      </c>
      <c r="K214" s="618">
        <f t="shared" si="28"/>
        <v>0</v>
      </c>
      <c r="L214" s="618">
        <f>'Membership Record'!K215+'Membership Record'!T215</f>
        <v>0</v>
      </c>
      <c r="M214" s="615">
        <f t="shared" si="29"/>
        <v>0</v>
      </c>
      <c r="N214" s="614">
        <f>'Membership Record'!L215+'Membership Record'!U215</f>
        <v>0</v>
      </c>
      <c r="O214" s="619">
        <f t="shared" si="30"/>
        <v>0</v>
      </c>
      <c r="P214" s="346"/>
      <c r="Q214" s="93"/>
      <c r="R214" s="94"/>
      <c r="S214" s="94"/>
      <c r="T214" s="330"/>
      <c r="U214" s="347"/>
      <c r="V214" s="92"/>
      <c r="W214" s="94"/>
      <c r="X214" s="95"/>
      <c r="Y214" s="95"/>
      <c r="Z214" s="95"/>
      <c r="AA214" s="94"/>
      <c r="AB214" s="346"/>
      <c r="AC214" s="93"/>
      <c r="AD214" s="94"/>
      <c r="AE214" s="94"/>
      <c r="AF214" s="330"/>
      <c r="AG214" s="347"/>
      <c r="AH214" s="92"/>
      <c r="AI214" s="94"/>
      <c r="AJ214" s="95"/>
      <c r="AK214" s="95"/>
      <c r="AL214" s="95"/>
      <c r="AM214" s="94"/>
      <c r="AN214" s="346"/>
      <c r="AO214" s="93"/>
      <c r="AP214" s="94"/>
      <c r="AQ214" s="94"/>
      <c r="AR214" s="330"/>
      <c r="AS214" s="347"/>
      <c r="AT214" s="92"/>
      <c r="AU214" s="94"/>
      <c r="AV214" s="95"/>
      <c r="AW214" s="95"/>
      <c r="AX214" s="95"/>
      <c r="AY214" s="94"/>
      <c r="AZ214" s="346"/>
      <c r="BA214" s="93"/>
      <c r="BB214" s="94"/>
      <c r="BC214" s="94"/>
      <c r="BD214" s="330"/>
      <c r="BE214" s="347"/>
      <c r="BF214" s="92"/>
      <c r="BG214" s="94"/>
      <c r="BH214" s="95"/>
      <c r="BI214" s="95"/>
      <c r="BJ214" s="95"/>
      <c r="BK214" s="94"/>
      <c r="BL214" s="346"/>
      <c r="BM214" s="93"/>
      <c r="BN214" s="94"/>
      <c r="BO214" s="94"/>
      <c r="BP214" s="330"/>
      <c r="BQ214" s="347"/>
      <c r="BR214" s="92"/>
      <c r="BS214" s="94"/>
      <c r="BT214" s="95"/>
      <c r="BU214" s="95"/>
      <c r="BV214" s="95"/>
      <c r="BW214" s="94"/>
      <c r="BX214" s="346"/>
      <c r="BY214" s="93"/>
      <c r="BZ214" s="94"/>
      <c r="CA214" s="94"/>
      <c r="CB214" s="330"/>
      <c r="CC214" s="347"/>
      <c r="CD214" s="92"/>
      <c r="CE214" s="94"/>
      <c r="CF214" s="95"/>
      <c r="CG214" s="95"/>
      <c r="CH214" s="95"/>
      <c r="CI214" s="94"/>
    </row>
    <row r="215" spans="1:87" x14ac:dyDescent="0.2">
      <c r="A215" s="8">
        <v>206</v>
      </c>
      <c r="B215" s="1125">
        <f>'Membership Record'!B216</f>
        <v>0</v>
      </c>
      <c r="C215" s="1125"/>
      <c r="D215" s="87">
        <f>'Membership Record'!G216+'Membership Record'!P216</f>
        <v>0</v>
      </c>
      <c r="E215" s="350">
        <f t="shared" si="25"/>
        <v>0</v>
      </c>
      <c r="F215" s="614">
        <f>'Membership Record'!H216+'Membership Record'!Q216</f>
        <v>0</v>
      </c>
      <c r="G215" s="615">
        <f t="shared" si="26"/>
        <v>0</v>
      </c>
      <c r="H215" s="614">
        <f>'Membership Record'!I216+'Membership Record'!R216</f>
        <v>0</v>
      </c>
      <c r="I215" s="616">
        <f t="shared" si="27"/>
        <v>0</v>
      </c>
      <c r="J215" s="614">
        <f>'Membership Record'!J216+'Membership Record'!S216</f>
        <v>0</v>
      </c>
      <c r="K215" s="618">
        <f t="shared" si="28"/>
        <v>0</v>
      </c>
      <c r="L215" s="618">
        <f>'Membership Record'!K216+'Membership Record'!T216</f>
        <v>0</v>
      </c>
      <c r="M215" s="615">
        <f t="shared" si="29"/>
        <v>0</v>
      </c>
      <c r="N215" s="614">
        <f>'Membership Record'!L216+'Membership Record'!U216</f>
        <v>0</v>
      </c>
      <c r="O215" s="619">
        <f t="shared" si="30"/>
        <v>0</v>
      </c>
      <c r="P215" s="346"/>
      <c r="Q215" s="93"/>
      <c r="R215" s="94"/>
      <c r="S215" s="94"/>
      <c r="T215" s="330"/>
      <c r="U215" s="347"/>
      <c r="V215" s="92"/>
      <c r="W215" s="94"/>
      <c r="X215" s="95"/>
      <c r="Y215" s="95"/>
      <c r="Z215" s="95"/>
      <c r="AA215" s="94"/>
      <c r="AB215" s="346"/>
      <c r="AC215" s="93"/>
      <c r="AD215" s="94"/>
      <c r="AE215" s="94"/>
      <c r="AF215" s="330"/>
      <c r="AG215" s="347"/>
      <c r="AH215" s="92"/>
      <c r="AI215" s="94"/>
      <c r="AJ215" s="95"/>
      <c r="AK215" s="95"/>
      <c r="AL215" s="95"/>
      <c r="AM215" s="94"/>
      <c r="AN215" s="346"/>
      <c r="AO215" s="93"/>
      <c r="AP215" s="94"/>
      <c r="AQ215" s="94"/>
      <c r="AR215" s="330"/>
      <c r="AS215" s="347"/>
      <c r="AT215" s="92"/>
      <c r="AU215" s="94"/>
      <c r="AV215" s="95"/>
      <c r="AW215" s="95"/>
      <c r="AX215" s="95"/>
      <c r="AY215" s="94"/>
      <c r="AZ215" s="346"/>
      <c r="BA215" s="93"/>
      <c r="BB215" s="94"/>
      <c r="BC215" s="94"/>
      <c r="BD215" s="330"/>
      <c r="BE215" s="347"/>
      <c r="BF215" s="92"/>
      <c r="BG215" s="94"/>
      <c r="BH215" s="95"/>
      <c r="BI215" s="95"/>
      <c r="BJ215" s="95"/>
      <c r="BK215" s="94"/>
      <c r="BL215" s="346"/>
      <c r="BM215" s="93"/>
      <c r="BN215" s="94"/>
      <c r="BO215" s="94"/>
      <c r="BP215" s="330"/>
      <c r="BQ215" s="347"/>
      <c r="BR215" s="92"/>
      <c r="BS215" s="94"/>
      <c r="BT215" s="95"/>
      <c r="BU215" s="95"/>
      <c r="BV215" s="95"/>
      <c r="BW215" s="94"/>
      <c r="BX215" s="346"/>
      <c r="BY215" s="93"/>
      <c r="BZ215" s="94"/>
      <c r="CA215" s="94"/>
      <c r="CB215" s="330"/>
      <c r="CC215" s="347"/>
      <c r="CD215" s="92"/>
      <c r="CE215" s="94"/>
      <c r="CF215" s="95"/>
      <c r="CG215" s="95"/>
      <c r="CH215" s="95"/>
      <c r="CI215" s="94"/>
    </row>
    <row r="216" spans="1:87" x14ac:dyDescent="0.2">
      <c r="A216" s="8">
        <v>207</v>
      </c>
      <c r="B216" s="1125">
        <f>'Membership Record'!B217</f>
        <v>0</v>
      </c>
      <c r="C216" s="1125"/>
      <c r="D216" s="87">
        <f>'Membership Record'!G217+'Membership Record'!P217</f>
        <v>0</v>
      </c>
      <c r="E216" s="350">
        <f t="shared" si="25"/>
        <v>0</v>
      </c>
      <c r="F216" s="614">
        <f>'Membership Record'!H217+'Membership Record'!Q217</f>
        <v>0</v>
      </c>
      <c r="G216" s="615">
        <f t="shared" si="26"/>
        <v>0</v>
      </c>
      <c r="H216" s="614">
        <f>'Membership Record'!I217+'Membership Record'!R217</f>
        <v>0</v>
      </c>
      <c r="I216" s="616">
        <f t="shared" si="27"/>
        <v>0</v>
      </c>
      <c r="J216" s="614">
        <f>'Membership Record'!J217+'Membership Record'!S217</f>
        <v>0</v>
      </c>
      <c r="K216" s="618">
        <f t="shared" si="28"/>
        <v>0</v>
      </c>
      <c r="L216" s="618">
        <f>'Membership Record'!K217+'Membership Record'!T217</f>
        <v>0</v>
      </c>
      <c r="M216" s="615">
        <f t="shared" si="29"/>
        <v>0</v>
      </c>
      <c r="N216" s="614">
        <f>'Membership Record'!L217+'Membership Record'!U217</f>
        <v>0</v>
      </c>
      <c r="O216" s="619">
        <f t="shared" si="30"/>
        <v>0</v>
      </c>
      <c r="P216" s="346"/>
      <c r="Q216" s="93"/>
      <c r="R216" s="94"/>
      <c r="S216" s="94"/>
      <c r="T216" s="330"/>
      <c r="U216" s="347"/>
      <c r="V216" s="92"/>
      <c r="W216" s="94"/>
      <c r="X216" s="95"/>
      <c r="Y216" s="95"/>
      <c r="Z216" s="95"/>
      <c r="AA216" s="94"/>
      <c r="AB216" s="346"/>
      <c r="AC216" s="93"/>
      <c r="AD216" s="94"/>
      <c r="AE216" s="94"/>
      <c r="AF216" s="330"/>
      <c r="AG216" s="347"/>
      <c r="AH216" s="92"/>
      <c r="AI216" s="94"/>
      <c r="AJ216" s="95"/>
      <c r="AK216" s="95"/>
      <c r="AL216" s="95"/>
      <c r="AM216" s="94"/>
      <c r="AN216" s="346"/>
      <c r="AO216" s="93"/>
      <c r="AP216" s="94"/>
      <c r="AQ216" s="94"/>
      <c r="AR216" s="330"/>
      <c r="AS216" s="347"/>
      <c r="AT216" s="92"/>
      <c r="AU216" s="94"/>
      <c r="AV216" s="95"/>
      <c r="AW216" s="95"/>
      <c r="AX216" s="95"/>
      <c r="AY216" s="94"/>
      <c r="AZ216" s="346"/>
      <c r="BA216" s="93"/>
      <c r="BB216" s="94"/>
      <c r="BC216" s="94"/>
      <c r="BD216" s="330"/>
      <c r="BE216" s="347"/>
      <c r="BF216" s="92"/>
      <c r="BG216" s="94"/>
      <c r="BH216" s="95"/>
      <c r="BI216" s="95"/>
      <c r="BJ216" s="95"/>
      <c r="BK216" s="94"/>
      <c r="BL216" s="346"/>
      <c r="BM216" s="93"/>
      <c r="BN216" s="94"/>
      <c r="BO216" s="94"/>
      <c r="BP216" s="330"/>
      <c r="BQ216" s="347"/>
      <c r="BR216" s="92"/>
      <c r="BS216" s="94"/>
      <c r="BT216" s="95"/>
      <c r="BU216" s="95"/>
      <c r="BV216" s="95"/>
      <c r="BW216" s="94"/>
      <c r="BX216" s="346"/>
      <c r="BY216" s="93"/>
      <c r="BZ216" s="94"/>
      <c r="CA216" s="94"/>
      <c r="CB216" s="330"/>
      <c r="CC216" s="347"/>
      <c r="CD216" s="92"/>
      <c r="CE216" s="94"/>
      <c r="CF216" s="95"/>
      <c r="CG216" s="95"/>
      <c r="CH216" s="95"/>
      <c r="CI216" s="94"/>
    </row>
    <row r="217" spans="1:87" x14ac:dyDescent="0.2">
      <c r="A217" s="8">
        <v>208</v>
      </c>
      <c r="B217" s="1125">
        <f>'Membership Record'!B218</f>
        <v>0</v>
      </c>
      <c r="C217" s="1125"/>
      <c r="D217" s="87">
        <f>'Membership Record'!G218+'Membership Record'!P218</f>
        <v>0</v>
      </c>
      <c r="E217" s="350">
        <f t="shared" si="25"/>
        <v>0</v>
      </c>
      <c r="F217" s="614">
        <f>'Membership Record'!H218+'Membership Record'!Q218</f>
        <v>0</v>
      </c>
      <c r="G217" s="615">
        <f t="shared" si="26"/>
        <v>0</v>
      </c>
      <c r="H217" s="614">
        <f>'Membership Record'!I218+'Membership Record'!R218</f>
        <v>0</v>
      </c>
      <c r="I217" s="616">
        <f t="shared" si="27"/>
        <v>0</v>
      </c>
      <c r="J217" s="614">
        <f>'Membership Record'!J218+'Membership Record'!S218</f>
        <v>0</v>
      </c>
      <c r="K217" s="618">
        <f t="shared" si="28"/>
        <v>0</v>
      </c>
      <c r="L217" s="618">
        <f>'Membership Record'!K218+'Membership Record'!T218</f>
        <v>0</v>
      </c>
      <c r="M217" s="615">
        <f t="shared" si="29"/>
        <v>0</v>
      </c>
      <c r="N217" s="614">
        <f>'Membership Record'!L218+'Membership Record'!U218</f>
        <v>0</v>
      </c>
      <c r="O217" s="619">
        <f t="shared" si="30"/>
        <v>0</v>
      </c>
      <c r="P217" s="346"/>
      <c r="Q217" s="93"/>
      <c r="R217" s="94"/>
      <c r="S217" s="94"/>
      <c r="T217" s="330"/>
      <c r="U217" s="347"/>
      <c r="V217" s="92"/>
      <c r="W217" s="94"/>
      <c r="X217" s="95"/>
      <c r="Y217" s="95"/>
      <c r="Z217" s="95"/>
      <c r="AA217" s="94"/>
      <c r="AB217" s="346"/>
      <c r="AC217" s="93"/>
      <c r="AD217" s="94"/>
      <c r="AE217" s="94"/>
      <c r="AF217" s="330"/>
      <c r="AG217" s="347"/>
      <c r="AH217" s="92"/>
      <c r="AI217" s="94"/>
      <c r="AJ217" s="95"/>
      <c r="AK217" s="95"/>
      <c r="AL217" s="95"/>
      <c r="AM217" s="94"/>
      <c r="AN217" s="346"/>
      <c r="AO217" s="93"/>
      <c r="AP217" s="94"/>
      <c r="AQ217" s="94"/>
      <c r="AR217" s="330"/>
      <c r="AS217" s="347"/>
      <c r="AT217" s="92"/>
      <c r="AU217" s="94"/>
      <c r="AV217" s="95"/>
      <c r="AW217" s="95"/>
      <c r="AX217" s="95"/>
      <c r="AY217" s="94"/>
      <c r="AZ217" s="346"/>
      <c r="BA217" s="93"/>
      <c r="BB217" s="94"/>
      <c r="BC217" s="94"/>
      <c r="BD217" s="330"/>
      <c r="BE217" s="347"/>
      <c r="BF217" s="92"/>
      <c r="BG217" s="94"/>
      <c r="BH217" s="95"/>
      <c r="BI217" s="95"/>
      <c r="BJ217" s="95"/>
      <c r="BK217" s="94"/>
      <c r="BL217" s="346"/>
      <c r="BM217" s="93"/>
      <c r="BN217" s="94"/>
      <c r="BO217" s="94"/>
      <c r="BP217" s="330"/>
      <c r="BQ217" s="347"/>
      <c r="BR217" s="92"/>
      <c r="BS217" s="94"/>
      <c r="BT217" s="95"/>
      <c r="BU217" s="95"/>
      <c r="BV217" s="95"/>
      <c r="BW217" s="94"/>
      <c r="BX217" s="346"/>
      <c r="BY217" s="93"/>
      <c r="BZ217" s="94"/>
      <c r="CA217" s="94"/>
      <c r="CB217" s="330"/>
      <c r="CC217" s="347"/>
      <c r="CD217" s="92"/>
      <c r="CE217" s="94"/>
      <c r="CF217" s="95"/>
      <c r="CG217" s="95"/>
      <c r="CH217" s="95"/>
      <c r="CI217" s="94"/>
    </row>
    <row r="218" spans="1:87" x14ac:dyDescent="0.2">
      <c r="A218" s="8">
        <v>209</v>
      </c>
      <c r="B218" s="1125">
        <f>'Membership Record'!B219</f>
        <v>0</v>
      </c>
      <c r="C218" s="1125"/>
      <c r="D218" s="87">
        <f>'Membership Record'!G219+'Membership Record'!P219</f>
        <v>0</v>
      </c>
      <c r="E218" s="350">
        <f t="shared" si="25"/>
        <v>0</v>
      </c>
      <c r="F218" s="614">
        <f>'Membership Record'!H219+'Membership Record'!Q219</f>
        <v>0</v>
      </c>
      <c r="G218" s="615">
        <f t="shared" si="26"/>
        <v>0</v>
      </c>
      <c r="H218" s="614">
        <f>'Membership Record'!I219+'Membership Record'!R219</f>
        <v>0</v>
      </c>
      <c r="I218" s="616">
        <f t="shared" si="27"/>
        <v>0</v>
      </c>
      <c r="J218" s="614">
        <f>'Membership Record'!J219+'Membership Record'!S219</f>
        <v>0</v>
      </c>
      <c r="K218" s="618">
        <f t="shared" si="28"/>
        <v>0</v>
      </c>
      <c r="L218" s="618">
        <f>'Membership Record'!K219+'Membership Record'!T219</f>
        <v>0</v>
      </c>
      <c r="M218" s="615">
        <f t="shared" si="29"/>
        <v>0</v>
      </c>
      <c r="N218" s="614">
        <f>'Membership Record'!L219+'Membership Record'!U219</f>
        <v>0</v>
      </c>
      <c r="O218" s="619">
        <f t="shared" si="30"/>
        <v>0</v>
      </c>
      <c r="P218" s="346"/>
      <c r="Q218" s="93"/>
      <c r="R218" s="94"/>
      <c r="S218" s="94"/>
      <c r="T218" s="330"/>
      <c r="U218" s="347"/>
      <c r="V218" s="92"/>
      <c r="W218" s="94"/>
      <c r="X218" s="95"/>
      <c r="Y218" s="95"/>
      <c r="Z218" s="95"/>
      <c r="AA218" s="94"/>
      <c r="AB218" s="346"/>
      <c r="AC218" s="93"/>
      <c r="AD218" s="94"/>
      <c r="AE218" s="94"/>
      <c r="AF218" s="330"/>
      <c r="AG218" s="347"/>
      <c r="AH218" s="92"/>
      <c r="AI218" s="94"/>
      <c r="AJ218" s="95"/>
      <c r="AK218" s="95"/>
      <c r="AL218" s="95"/>
      <c r="AM218" s="94"/>
      <c r="AN218" s="346"/>
      <c r="AO218" s="93"/>
      <c r="AP218" s="94"/>
      <c r="AQ218" s="94"/>
      <c r="AR218" s="330"/>
      <c r="AS218" s="347"/>
      <c r="AT218" s="92"/>
      <c r="AU218" s="94"/>
      <c r="AV218" s="95"/>
      <c r="AW218" s="95"/>
      <c r="AX218" s="95"/>
      <c r="AY218" s="94"/>
      <c r="AZ218" s="346"/>
      <c r="BA218" s="93"/>
      <c r="BB218" s="94"/>
      <c r="BC218" s="94"/>
      <c r="BD218" s="330"/>
      <c r="BE218" s="347"/>
      <c r="BF218" s="92"/>
      <c r="BG218" s="94"/>
      <c r="BH218" s="95"/>
      <c r="BI218" s="95"/>
      <c r="BJ218" s="95"/>
      <c r="BK218" s="94"/>
      <c r="BL218" s="346"/>
      <c r="BM218" s="93"/>
      <c r="BN218" s="94"/>
      <c r="BO218" s="94"/>
      <c r="BP218" s="330"/>
      <c r="BQ218" s="347"/>
      <c r="BR218" s="92"/>
      <c r="BS218" s="94"/>
      <c r="BT218" s="95"/>
      <c r="BU218" s="95"/>
      <c r="BV218" s="95"/>
      <c r="BW218" s="94"/>
      <c r="BX218" s="346"/>
      <c r="BY218" s="93"/>
      <c r="BZ218" s="94"/>
      <c r="CA218" s="94"/>
      <c r="CB218" s="330"/>
      <c r="CC218" s="347"/>
      <c r="CD218" s="92"/>
      <c r="CE218" s="94"/>
      <c r="CF218" s="95"/>
      <c r="CG218" s="95"/>
      <c r="CH218" s="95"/>
      <c r="CI218" s="94"/>
    </row>
    <row r="219" spans="1:87" x14ac:dyDescent="0.2">
      <c r="A219" s="8">
        <v>210</v>
      </c>
      <c r="B219" s="1125">
        <f>'Membership Record'!B220</f>
        <v>0</v>
      </c>
      <c r="C219" s="1125"/>
      <c r="D219" s="87">
        <f>'Membership Record'!G220+'Membership Record'!P220</f>
        <v>0</v>
      </c>
      <c r="E219" s="350">
        <f t="shared" si="25"/>
        <v>0</v>
      </c>
      <c r="F219" s="614">
        <f>'Membership Record'!H220+'Membership Record'!Q220</f>
        <v>0</v>
      </c>
      <c r="G219" s="615">
        <f t="shared" si="26"/>
        <v>0</v>
      </c>
      <c r="H219" s="614">
        <f>'Membership Record'!I220+'Membership Record'!R220</f>
        <v>0</v>
      </c>
      <c r="I219" s="616">
        <f t="shared" si="27"/>
        <v>0</v>
      </c>
      <c r="J219" s="614">
        <f>'Membership Record'!J220+'Membership Record'!S220</f>
        <v>0</v>
      </c>
      <c r="K219" s="618">
        <f t="shared" si="28"/>
        <v>0</v>
      </c>
      <c r="L219" s="618">
        <f>'Membership Record'!K220+'Membership Record'!T220</f>
        <v>0</v>
      </c>
      <c r="M219" s="615">
        <f t="shared" si="29"/>
        <v>0</v>
      </c>
      <c r="N219" s="614">
        <f>'Membership Record'!L220+'Membership Record'!U220</f>
        <v>0</v>
      </c>
      <c r="O219" s="619">
        <f t="shared" si="30"/>
        <v>0</v>
      </c>
      <c r="P219" s="346"/>
      <c r="Q219" s="93"/>
      <c r="R219" s="94"/>
      <c r="S219" s="94"/>
      <c r="T219" s="330"/>
      <c r="U219" s="347"/>
      <c r="V219" s="92"/>
      <c r="W219" s="94"/>
      <c r="X219" s="95"/>
      <c r="Y219" s="95"/>
      <c r="Z219" s="95"/>
      <c r="AA219" s="94"/>
      <c r="AB219" s="346"/>
      <c r="AC219" s="93"/>
      <c r="AD219" s="94"/>
      <c r="AE219" s="94"/>
      <c r="AF219" s="330"/>
      <c r="AG219" s="347"/>
      <c r="AH219" s="92"/>
      <c r="AI219" s="94"/>
      <c r="AJ219" s="95"/>
      <c r="AK219" s="95"/>
      <c r="AL219" s="95"/>
      <c r="AM219" s="94"/>
      <c r="AN219" s="346"/>
      <c r="AO219" s="93"/>
      <c r="AP219" s="94"/>
      <c r="AQ219" s="94"/>
      <c r="AR219" s="330"/>
      <c r="AS219" s="347"/>
      <c r="AT219" s="92"/>
      <c r="AU219" s="94"/>
      <c r="AV219" s="95"/>
      <c r="AW219" s="95"/>
      <c r="AX219" s="95"/>
      <c r="AY219" s="94"/>
      <c r="AZ219" s="346"/>
      <c r="BA219" s="93"/>
      <c r="BB219" s="94"/>
      <c r="BC219" s="94"/>
      <c r="BD219" s="330"/>
      <c r="BE219" s="347"/>
      <c r="BF219" s="92"/>
      <c r="BG219" s="94"/>
      <c r="BH219" s="95"/>
      <c r="BI219" s="95"/>
      <c r="BJ219" s="95"/>
      <c r="BK219" s="94"/>
      <c r="BL219" s="346"/>
      <c r="BM219" s="93"/>
      <c r="BN219" s="94"/>
      <c r="BO219" s="94"/>
      <c r="BP219" s="330"/>
      <c r="BQ219" s="347"/>
      <c r="BR219" s="92"/>
      <c r="BS219" s="94"/>
      <c r="BT219" s="95"/>
      <c r="BU219" s="95"/>
      <c r="BV219" s="95"/>
      <c r="BW219" s="94"/>
      <c r="BX219" s="346"/>
      <c r="BY219" s="93"/>
      <c r="BZ219" s="94"/>
      <c r="CA219" s="94"/>
      <c r="CB219" s="330"/>
      <c r="CC219" s="347"/>
      <c r="CD219" s="92"/>
      <c r="CE219" s="94"/>
      <c r="CF219" s="95"/>
      <c r="CG219" s="95"/>
      <c r="CH219" s="95"/>
      <c r="CI219" s="94"/>
    </row>
    <row r="220" spans="1:87" x14ac:dyDescent="0.2">
      <c r="A220" s="8">
        <v>211</v>
      </c>
      <c r="B220" s="1125">
        <f>'Membership Record'!B221</f>
        <v>0</v>
      </c>
      <c r="C220" s="1125"/>
      <c r="D220" s="87">
        <f>'Membership Record'!G221+'Membership Record'!P221</f>
        <v>0</v>
      </c>
      <c r="E220" s="350">
        <f t="shared" si="25"/>
        <v>0</v>
      </c>
      <c r="F220" s="614">
        <f>'Membership Record'!H221+'Membership Record'!Q221</f>
        <v>0</v>
      </c>
      <c r="G220" s="615">
        <f t="shared" si="26"/>
        <v>0</v>
      </c>
      <c r="H220" s="614">
        <f>'Membership Record'!I221+'Membership Record'!R221</f>
        <v>0</v>
      </c>
      <c r="I220" s="616">
        <f t="shared" si="27"/>
        <v>0</v>
      </c>
      <c r="J220" s="614">
        <f>'Membership Record'!J221+'Membership Record'!S221</f>
        <v>0</v>
      </c>
      <c r="K220" s="618">
        <f t="shared" si="28"/>
        <v>0</v>
      </c>
      <c r="L220" s="618">
        <f>'Membership Record'!K221+'Membership Record'!T221</f>
        <v>0</v>
      </c>
      <c r="M220" s="615">
        <f t="shared" si="29"/>
        <v>0</v>
      </c>
      <c r="N220" s="614">
        <f>'Membership Record'!L221+'Membership Record'!U221</f>
        <v>0</v>
      </c>
      <c r="O220" s="619">
        <f t="shared" si="30"/>
        <v>0</v>
      </c>
      <c r="P220" s="346"/>
      <c r="Q220" s="93"/>
      <c r="R220" s="94"/>
      <c r="S220" s="94"/>
      <c r="T220" s="330"/>
      <c r="U220" s="347"/>
      <c r="V220" s="92"/>
      <c r="W220" s="94"/>
      <c r="X220" s="95"/>
      <c r="Y220" s="95"/>
      <c r="Z220" s="95"/>
      <c r="AA220" s="94"/>
      <c r="AB220" s="346"/>
      <c r="AC220" s="93"/>
      <c r="AD220" s="94"/>
      <c r="AE220" s="94"/>
      <c r="AF220" s="330"/>
      <c r="AG220" s="347"/>
      <c r="AH220" s="92"/>
      <c r="AI220" s="94"/>
      <c r="AJ220" s="95"/>
      <c r="AK220" s="95"/>
      <c r="AL220" s="95"/>
      <c r="AM220" s="94"/>
      <c r="AN220" s="346"/>
      <c r="AO220" s="93"/>
      <c r="AP220" s="94"/>
      <c r="AQ220" s="94"/>
      <c r="AR220" s="330"/>
      <c r="AS220" s="347"/>
      <c r="AT220" s="92"/>
      <c r="AU220" s="94"/>
      <c r="AV220" s="95"/>
      <c r="AW220" s="95"/>
      <c r="AX220" s="95"/>
      <c r="AY220" s="94"/>
      <c r="AZ220" s="346"/>
      <c r="BA220" s="93"/>
      <c r="BB220" s="94"/>
      <c r="BC220" s="94"/>
      <c r="BD220" s="330"/>
      <c r="BE220" s="347"/>
      <c r="BF220" s="92"/>
      <c r="BG220" s="94"/>
      <c r="BH220" s="95"/>
      <c r="BI220" s="95"/>
      <c r="BJ220" s="95"/>
      <c r="BK220" s="94"/>
      <c r="BL220" s="346"/>
      <c r="BM220" s="93"/>
      <c r="BN220" s="94"/>
      <c r="BO220" s="94"/>
      <c r="BP220" s="330"/>
      <c r="BQ220" s="347"/>
      <c r="BR220" s="92"/>
      <c r="BS220" s="94"/>
      <c r="BT220" s="95"/>
      <c r="BU220" s="95"/>
      <c r="BV220" s="95"/>
      <c r="BW220" s="94"/>
      <c r="BX220" s="346"/>
      <c r="BY220" s="93"/>
      <c r="BZ220" s="94"/>
      <c r="CA220" s="94"/>
      <c r="CB220" s="330"/>
      <c r="CC220" s="347"/>
      <c r="CD220" s="92"/>
      <c r="CE220" s="94"/>
      <c r="CF220" s="95"/>
      <c r="CG220" s="95"/>
      <c r="CH220" s="95"/>
      <c r="CI220" s="94"/>
    </row>
    <row r="221" spans="1:87" x14ac:dyDescent="0.2">
      <c r="A221" s="8">
        <v>212</v>
      </c>
      <c r="B221" s="1125">
        <f>'Membership Record'!B222</f>
        <v>0</v>
      </c>
      <c r="C221" s="1125"/>
      <c r="D221" s="87">
        <f>'Membership Record'!G222+'Membership Record'!P222</f>
        <v>0</v>
      </c>
      <c r="E221" s="350">
        <f t="shared" si="25"/>
        <v>0</v>
      </c>
      <c r="F221" s="614">
        <f>'Membership Record'!H222+'Membership Record'!Q222</f>
        <v>0</v>
      </c>
      <c r="G221" s="615">
        <f t="shared" si="26"/>
        <v>0</v>
      </c>
      <c r="H221" s="614">
        <f>'Membership Record'!I222+'Membership Record'!R222</f>
        <v>0</v>
      </c>
      <c r="I221" s="616">
        <f t="shared" si="27"/>
        <v>0</v>
      </c>
      <c r="J221" s="614">
        <f>'Membership Record'!J222+'Membership Record'!S222</f>
        <v>0</v>
      </c>
      <c r="K221" s="618">
        <f t="shared" si="28"/>
        <v>0</v>
      </c>
      <c r="L221" s="618">
        <f>'Membership Record'!K222+'Membership Record'!T222</f>
        <v>0</v>
      </c>
      <c r="M221" s="615">
        <f t="shared" si="29"/>
        <v>0</v>
      </c>
      <c r="N221" s="614">
        <f>'Membership Record'!L222+'Membership Record'!U222</f>
        <v>0</v>
      </c>
      <c r="O221" s="619">
        <f t="shared" si="30"/>
        <v>0</v>
      </c>
      <c r="P221" s="346"/>
      <c r="Q221" s="93"/>
      <c r="R221" s="94"/>
      <c r="S221" s="94"/>
      <c r="T221" s="330"/>
      <c r="U221" s="347"/>
      <c r="V221" s="92"/>
      <c r="W221" s="94"/>
      <c r="X221" s="95"/>
      <c r="Y221" s="95"/>
      <c r="Z221" s="95"/>
      <c r="AA221" s="94"/>
      <c r="AB221" s="346"/>
      <c r="AC221" s="93"/>
      <c r="AD221" s="94"/>
      <c r="AE221" s="94"/>
      <c r="AF221" s="330"/>
      <c r="AG221" s="347"/>
      <c r="AH221" s="92"/>
      <c r="AI221" s="94"/>
      <c r="AJ221" s="95"/>
      <c r="AK221" s="95"/>
      <c r="AL221" s="95"/>
      <c r="AM221" s="94"/>
      <c r="AN221" s="346"/>
      <c r="AO221" s="93"/>
      <c r="AP221" s="94"/>
      <c r="AQ221" s="94"/>
      <c r="AR221" s="330"/>
      <c r="AS221" s="347"/>
      <c r="AT221" s="92"/>
      <c r="AU221" s="94"/>
      <c r="AV221" s="95"/>
      <c r="AW221" s="95"/>
      <c r="AX221" s="95"/>
      <c r="AY221" s="94"/>
      <c r="AZ221" s="346"/>
      <c r="BA221" s="93"/>
      <c r="BB221" s="94"/>
      <c r="BC221" s="94"/>
      <c r="BD221" s="330"/>
      <c r="BE221" s="347"/>
      <c r="BF221" s="92"/>
      <c r="BG221" s="94"/>
      <c r="BH221" s="95"/>
      <c r="BI221" s="95"/>
      <c r="BJ221" s="95"/>
      <c r="BK221" s="94"/>
      <c r="BL221" s="346"/>
      <c r="BM221" s="93"/>
      <c r="BN221" s="94"/>
      <c r="BO221" s="94"/>
      <c r="BP221" s="330"/>
      <c r="BQ221" s="347"/>
      <c r="BR221" s="92"/>
      <c r="BS221" s="94"/>
      <c r="BT221" s="95"/>
      <c r="BU221" s="95"/>
      <c r="BV221" s="95"/>
      <c r="BW221" s="94"/>
      <c r="BX221" s="346"/>
      <c r="BY221" s="93"/>
      <c r="BZ221" s="94"/>
      <c r="CA221" s="94"/>
      <c r="CB221" s="330"/>
      <c r="CC221" s="347"/>
      <c r="CD221" s="92"/>
      <c r="CE221" s="94"/>
      <c r="CF221" s="95"/>
      <c r="CG221" s="95"/>
      <c r="CH221" s="95"/>
      <c r="CI221" s="94"/>
    </row>
    <row r="222" spans="1:87" x14ac:dyDescent="0.2">
      <c r="A222" s="8">
        <v>213</v>
      </c>
      <c r="B222" s="1125">
        <f>'Membership Record'!B223</f>
        <v>0</v>
      </c>
      <c r="C222" s="1125"/>
      <c r="D222" s="87">
        <f>'Membership Record'!G223+'Membership Record'!P223</f>
        <v>0</v>
      </c>
      <c r="E222" s="350">
        <f t="shared" si="25"/>
        <v>0</v>
      </c>
      <c r="F222" s="614">
        <f>'Membership Record'!H223+'Membership Record'!Q223</f>
        <v>0</v>
      </c>
      <c r="G222" s="615">
        <f t="shared" si="26"/>
        <v>0</v>
      </c>
      <c r="H222" s="614">
        <f>'Membership Record'!I223+'Membership Record'!R223</f>
        <v>0</v>
      </c>
      <c r="I222" s="616">
        <f t="shared" si="27"/>
        <v>0</v>
      </c>
      <c r="J222" s="614">
        <f>'Membership Record'!J223+'Membership Record'!S223</f>
        <v>0</v>
      </c>
      <c r="K222" s="618">
        <f t="shared" si="28"/>
        <v>0</v>
      </c>
      <c r="L222" s="618">
        <f>'Membership Record'!K223+'Membership Record'!T223</f>
        <v>0</v>
      </c>
      <c r="M222" s="615">
        <f t="shared" si="29"/>
        <v>0</v>
      </c>
      <c r="N222" s="614">
        <f>'Membership Record'!L223+'Membership Record'!U223</f>
        <v>0</v>
      </c>
      <c r="O222" s="619">
        <f t="shared" si="30"/>
        <v>0</v>
      </c>
      <c r="P222" s="346"/>
      <c r="Q222" s="93"/>
      <c r="R222" s="94"/>
      <c r="S222" s="94"/>
      <c r="T222" s="330"/>
      <c r="U222" s="347"/>
      <c r="V222" s="92"/>
      <c r="W222" s="94"/>
      <c r="X222" s="95"/>
      <c r="Y222" s="95"/>
      <c r="Z222" s="95"/>
      <c r="AA222" s="94"/>
      <c r="AB222" s="346"/>
      <c r="AC222" s="93"/>
      <c r="AD222" s="94"/>
      <c r="AE222" s="94"/>
      <c r="AF222" s="330"/>
      <c r="AG222" s="347"/>
      <c r="AH222" s="92"/>
      <c r="AI222" s="94"/>
      <c r="AJ222" s="95"/>
      <c r="AK222" s="95"/>
      <c r="AL222" s="95"/>
      <c r="AM222" s="94"/>
      <c r="AN222" s="346"/>
      <c r="AO222" s="93"/>
      <c r="AP222" s="94"/>
      <c r="AQ222" s="94"/>
      <c r="AR222" s="330"/>
      <c r="AS222" s="347"/>
      <c r="AT222" s="92"/>
      <c r="AU222" s="94"/>
      <c r="AV222" s="95"/>
      <c r="AW222" s="95"/>
      <c r="AX222" s="95"/>
      <c r="AY222" s="94"/>
      <c r="AZ222" s="346"/>
      <c r="BA222" s="93"/>
      <c r="BB222" s="94"/>
      <c r="BC222" s="94"/>
      <c r="BD222" s="330"/>
      <c r="BE222" s="347"/>
      <c r="BF222" s="92"/>
      <c r="BG222" s="94"/>
      <c r="BH222" s="95"/>
      <c r="BI222" s="95"/>
      <c r="BJ222" s="95"/>
      <c r="BK222" s="94"/>
      <c r="BL222" s="346"/>
      <c r="BM222" s="93"/>
      <c r="BN222" s="94"/>
      <c r="BO222" s="94"/>
      <c r="BP222" s="330"/>
      <c r="BQ222" s="347"/>
      <c r="BR222" s="92"/>
      <c r="BS222" s="94"/>
      <c r="BT222" s="95"/>
      <c r="BU222" s="95"/>
      <c r="BV222" s="95"/>
      <c r="BW222" s="94"/>
      <c r="BX222" s="346"/>
      <c r="BY222" s="93"/>
      <c r="BZ222" s="94"/>
      <c r="CA222" s="94"/>
      <c r="CB222" s="330"/>
      <c r="CC222" s="347"/>
      <c r="CD222" s="92"/>
      <c r="CE222" s="94"/>
      <c r="CF222" s="95"/>
      <c r="CG222" s="95"/>
      <c r="CH222" s="95"/>
      <c r="CI222" s="94"/>
    </row>
    <row r="223" spans="1:87" x14ac:dyDescent="0.2">
      <c r="A223" s="8">
        <v>214</v>
      </c>
      <c r="B223" s="1125">
        <f>'Membership Record'!B224</f>
        <v>0</v>
      </c>
      <c r="C223" s="1125"/>
      <c r="D223" s="87">
        <f>'Membership Record'!G224+'Membership Record'!P224</f>
        <v>0</v>
      </c>
      <c r="E223" s="350">
        <f t="shared" si="25"/>
        <v>0</v>
      </c>
      <c r="F223" s="614">
        <f>'Membership Record'!H224+'Membership Record'!Q224</f>
        <v>0</v>
      </c>
      <c r="G223" s="615">
        <f t="shared" si="26"/>
        <v>0</v>
      </c>
      <c r="H223" s="614">
        <f>'Membership Record'!I224+'Membership Record'!R224</f>
        <v>0</v>
      </c>
      <c r="I223" s="616">
        <f t="shared" si="27"/>
        <v>0</v>
      </c>
      <c r="J223" s="614">
        <f>'Membership Record'!J224+'Membership Record'!S224</f>
        <v>0</v>
      </c>
      <c r="K223" s="618">
        <f t="shared" si="28"/>
        <v>0</v>
      </c>
      <c r="L223" s="618">
        <f>'Membership Record'!K224+'Membership Record'!T224</f>
        <v>0</v>
      </c>
      <c r="M223" s="615">
        <f t="shared" si="29"/>
        <v>0</v>
      </c>
      <c r="N223" s="614">
        <f>'Membership Record'!L224+'Membership Record'!U224</f>
        <v>0</v>
      </c>
      <c r="O223" s="619">
        <f t="shared" si="30"/>
        <v>0</v>
      </c>
      <c r="P223" s="346"/>
      <c r="Q223" s="93"/>
      <c r="R223" s="94"/>
      <c r="S223" s="94"/>
      <c r="T223" s="330"/>
      <c r="U223" s="347"/>
      <c r="V223" s="92"/>
      <c r="W223" s="94"/>
      <c r="X223" s="95"/>
      <c r="Y223" s="95"/>
      <c r="Z223" s="95"/>
      <c r="AA223" s="94"/>
      <c r="AB223" s="346"/>
      <c r="AC223" s="93"/>
      <c r="AD223" s="94"/>
      <c r="AE223" s="94"/>
      <c r="AF223" s="330"/>
      <c r="AG223" s="347"/>
      <c r="AH223" s="92"/>
      <c r="AI223" s="94"/>
      <c r="AJ223" s="95"/>
      <c r="AK223" s="95"/>
      <c r="AL223" s="95"/>
      <c r="AM223" s="94"/>
      <c r="AN223" s="346"/>
      <c r="AO223" s="93"/>
      <c r="AP223" s="94"/>
      <c r="AQ223" s="94"/>
      <c r="AR223" s="330"/>
      <c r="AS223" s="347"/>
      <c r="AT223" s="92"/>
      <c r="AU223" s="94"/>
      <c r="AV223" s="95"/>
      <c r="AW223" s="95"/>
      <c r="AX223" s="95"/>
      <c r="AY223" s="94"/>
      <c r="AZ223" s="346"/>
      <c r="BA223" s="93"/>
      <c r="BB223" s="94"/>
      <c r="BC223" s="94"/>
      <c r="BD223" s="330"/>
      <c r="BE223" s="347"/>
      <c r="BF223" s="92"/>
      <c r="BG223" s="94"/>
      <c r="BH223" s="95"/>
      <c r="BI223" s="95"/>
      <c r="BJ223" s="95"/>
      <c r="BK223" s="94"/>
      <c r="BL223" s="346"/>
      <c r="BM223" s="93"/>
      <c r="BN223" s="94"/>
      <c r="BO223" s="94"/>
      <c r="BP223" s="330"/>
      <c r="BQ223" s="347"/>
      <c r="BR223" s="92"/>
      <c r="BS223" s="94"/>
      <c r="BT223" s="95"/>
      <c r="BU223" s="95"/>
      <c r="BV223" s="95"/>
      <c r="BW223" s="94"/>
      <c r="BX223" s="346"/>
      <c r="BY223" s="93"/>
      <c r="BZ223" s="94"/>
      <c r="CA223" s="94"/>
      <c r="CB223" s="330"/>
      <c r="CC223" s="347"/>
      <c r="CD223" s="92"/>
      <c r="CE223" s="94"/>
      <c r="CF223" s="95"/>
      <c r="CG223" s="95"/>
      <c r="CH223" s="95"/>
      <c r="CI223" s="94"/>
    </row>
    <row r="224" spans="1:87" x14ac:dyDescent="0.2">
      <c r="A224" s="8">
        <v>215</v>
      </c>
      <c r="B224" s="1125">
        <f>'Membership Record'!B225</f>
        <v>0</v>
      </c>
      <c r="C224" s="1125"/>
      <c r="D224" s="87">
        <f>'Membership Record'!G225+'Membership Record'!P225</f>
        <v>0</v>
      </c>
      <c r="E224" s="350">
        <f t="shared" si="25"/>
        <v>0</v>
      </c>
      <c r="F224" s="614">
        <f>'Membership Record'!H225+'Membership Record'!Q225</f>
        <v>0</v>
      </c>
      <c r="G224" s="615">
        <f t="shared" si="26"/>
        <v>0</v>
      </c>
      <c r="H224" s="614">
        <f>'Membership Record'!I225+'Membership Record'!R225</f>
        <v>0</v>
      </c>
      <c r="I224" s="616">
        <f t="shared" si="27"/>
        <v>0</v>
      </c>
      <c r="J224" s="614">
        <f>'Membership Record'!J225+'Membership Record'!S225</f>
        <v>0</v>
      </c>
      <c r="K224" s="618">
        <f t="shared" si="28"/>
        <v>0</v>
      </c>
      <c r="L224" s="618">
        <f>'Membership Record'!K225+'Membership Record'!T225</f>
        <v>0</v>
      </c>
      <c r="M224" s="615">
        <f t="shared" si="29"/>
        <v>0</v>
      </c>
      <c r="N224" s="614">
        <f>'Membership Record'!L225+'Membership Record'!U225</f>
        <v>0</v>
      </c>
      <c r="O224" s="619">
        <f t="shared" si="30"/>
        <v>0</v>
      </c>
      <c r="P224" s="346"/>
      <c r="Q224" s="93"/>
      <c r="R224" s="94"/>
      <c r="S224" s="94"/>
      <c r="T224" s="330"/>
      <c r="U224" s="347"/>
      <c r="V224" s="92"/>
      <c r="W224" s="94"/>
      <c r="X224" s="95"/>
      <c r="Y224" s="95"/>
      <c r="Z224" s="95"/>
      <c r="AA224" s="94"/>
      <c r="AB224" s="346"/>
      <c r="AC224" s="93"/>
      <c r="AD224" s="94"/>
      <c r="AE224" s="94"/>
      <c r="AF224" s="330"/>
      <c r="AG224" s="347"/>
      <c r="AH224" s="92"/>
      <c r="AI224" s="94"/>
      <c r="AJ224" s="95"/>
      <c r="AK224" s="95"/>
      <c r="AL224" s="95"/>
      <c r="AM224" s="94"/>
      <c r="AN224" s="346"/>
      <c r="AO224" s="93"/>
      <c r="AP224" s="94"/>
      <c r="AQ224" s="94"/>
      <c r="AR224" s="330"/>
      <c r="AS224" s="347"/>
      <c r="AT224" s="92"/>
      <c r="AU224" s="94"/>
      <c r="AV224" s="95"/>
      <c r="AW224" s="95"/>
      <c r="AX224" s="95"/>
      <c r="AY224" s="94"/>
      <c r="AZ224" s="346"/>
      <c r="BA224" s="93"/>
      <c r="BB224" s="94"/>
      <c r="BC224" s="94"/>
      <c r="BD224" s="330"/>
      <c r="BE224" s="347"/>
      <c r="BF224" s="92"/>
      <c r="BG224" s="94"/>
      <c r="BH224" s="95"/>
      <c r="BI224" s="95"/>
      <c r="BJ224" s="95"/>
      <c r="BK224" s="94"/>
      <c r="BL224" s="346"/>
      <c r="BM224" s="93"/>
      <c r="BN224" s="94"/>
      <c r="BO224" s="94"/>
      <c r="BP224" s="330"/>
      <c r="BQ224" s="347"/>
      <c r="BR224" s="92"/>
      <c r="BS224" s="94"/>
      <c r="BT224" s="95"/>
      <c r="BU224" s="95"/>
      <c r="BV224" s="95"/>
      <c r="BW224" s="94"/>
      <c r="BX224" s="346"/>
      <c r="BY224" s="93"/>
      <c r="BZ224" s="94"/>
      <c r="CA224" s="94"/>
      <c r="CB224" s="330"/>
      <c r="CC224" s="347"/>
      <c r="CD224" s="92"/>
      <c r="CE224" s="94"/>
      <c r="CF224" s="95"/>
      <c r="CG224" s="95"/>
      <c r="CH224" s="95"/>
      <c r="CI224" s="94"/>
    </row>
    <row r="225" spans="1:87" x14ac:dyDescent="0.2">
      <c r="A225" s="8">
        <v>216</v>
      </c>
      <c r="B225" s="1125">
        <f>'Membership Record'!B226</f>
        <v>0</v>
      </c>
      <c r="C225" s="1125"/>
      <c r="D225" s="87">
        <f>'Membership Record'!G226+'Membership Record'!P226</f>
        <v>0</v>
      </c>
      <c r="E225" s="350">
        <f t="shared" si="25"/>
        <v>0</v>
      </c>
      <c r="F225" s="614">
        <f>'Membership Record'!H226+'Membership Record'!Q226</f>
        <v>0</v>
      </c>
      <c r="G225" s="615">
        <f t="shared" si="26"/>
        <v>0</v>
      </c>
      <c r="H225" s="614">
        <f>'Membership Record'!I226+'Membership Record'!R226</f>
        <v>0</v>
      </c>
      <c r="I225" s="616">
        <f t="shared" si="27"/>
        <v>0</v>
      </c>
      <c r="J225" s="614">
        <f>'Membership Record'!J226+'Membership Record'!S226</f>
        <v>0</v>
      </c>
      <c r="K225" s="618">
        <f t="shared" si="28"/>
        <v>0</v>
      </c>
      <c r="L225" s="618">
        <f>'Membership Record'!K226+'Membership Record'!T226</f>
        <v>0</v>
      </c>
      <c r="M225" s="615">
        <f t="shared" si="29"/>
        <v>0</v>
      </c>
      <c r="N225" s="614">
        <f>'Membership Record'!L226+'Membership Record'!U226</f>
        <v>0</v>
      </c>
      <c r="O225" s="619">
        <f t="shared" si="30"/>
        <v>0</v>
      </c>
      <c r="P225" s="346"/>
      <c r="Q225" s="93"/>
      <c r="R225" s="94"/>
      <c r="S225" s="94"/>
      <c r="T225" s="330"/>
      <c r="U225" s="347"/>
      <c r="V225" s="92"/>
      <c r="W225" s="94"/>
      <c r="X225" s="95"/>
      <c r="Y225" s="95"/>
      <c r="Z225" s="95"/>
      <c r="AA225" s="94"/>
      <c r="AB225" s="346"/>
      <c r="AC225" s="93"/>
      <c r="AD225" s="94"/>
      <c r="AE225" s="94"/>
      <c r="AF225" s="330"/>
      <c r="AG225" s="347"/>
      <c r="AH225" s="92"/>
      <c r="AI225" s="94"/>
      <c r="AJ225" s="95"/>
      <c r="AK225" s="95"/>
      <c r="AL225" s="95"/>
      <c r="AM225" s="94"/>
      <c r="AN225" s="346"/>
      <c r="AO225" s="93"/>
      <c r="AP225" s="94"/>
      <c r="AQ225" s="94"/>
      <c r="AR225" s="330"/>
      <c r="AS225" s="347"/>
      <c r="AT225" s="92"/>
      <c r="AU225" s="94"/>
      <c r="AV225" s="95"/>
      <c r="AW225" s="95"/>
      <c r="AX225" s="95"/>
      <c r="AY225" s="94"/>
      <c r="AZ225" s="346"/>
      <c r="BA225" s="93"/>
      <c r="BB225" s="94"/>
      <c r="BC225" s="94"/>
      <c r="BD225" s="330"/>
      <c r="BE225" s="347"/>
      <c r="BF225" s="92"/>
      <c r="BG225" s="94"/>
      <c r="BH225" s="95"/>
      <c r="BI225" s="95"/>
      <c r="BJ225" s="95"/>
      <c r="BK225" s="94"/>
      <c r="BL225" s="346"/>
      <c r="BM225" s="93"/>
      <c r="BN225" s="94"/>
      <c r="BO225" s="94"/>
      <c r="BP225" s="330"/>
      <c r="BQ225" s="347"/>
      <c r="BR225" s="92"/>
      <c r="BS225" s="94"/>
      <c r="BT225" s="95"/>
      <c r="BU225" s="95"/>
      <c r="BV225" s="95"/>
      <c r="BW225" s="94"/>
      <c r="BX225" s="346"/>
      <c r="BY225" s="93"/>
      <c r="BZ225" s="94"/>
      <c r="CA225" s="94"/>
      <c r="CB225" s="330"/>
      <c r="CC225" s="347"/>
      <c r="CD225" s="92"/>
      <c r="CE225" s="94"/>
      <c r="CF225" s="95"/>
      <c r="CG225" s="95"/>
      <c r="CH225" s="95"/>
      <c r="CI225" s="94"/>
    </row>
    <row r="226" spans="1:87" x14ac:dyDescent="0.2">
      <c r="A226" s="8">
        <v>217</v>
      </c>
      <c r="B226" s="1125">
        <f>'Membership Record'!B227</f>
        <v>0</v>
      </c>
      <c r="C226" s="1125"/>
      <c r="D226" s="87">
        <f>'Membership Record'!G227+'Membership Record'!P227</f>
        <v>0</v>
      </c>
      <c r="E226" s="350">
        <f t="shared" si="25"/>
        <v>0</v>
      </c>
      <c r="F226" s="614">
        <f>'Membership Record'!H227+'Membership Record'!Q227</f>
        <v>0</v>
      </c>
      <c r="G226" s="615">
        <f t="shared" si="26"/>
        <v>0</v>
      </c>
      <c r="H226" s="614">
        <f>'Membership Record'!I227+'Membership Record'!R227</f>
        <v>0</v>
      </c>
      <c r="I226" s="616">
        <f t="shared" si="27"/>
        <v>0</v>
      </c>
      <c r="J226" s="614">
        <f>'Membership Record'!J227+'Membership Record'!S227</f>
        <v>0</v>
      </c>
      <c r="K226" s="618">
        <f t="shared" si="28"/>
        <v>0</v>
      </c>
      <c r="L226" s="618">
        <f>'Membership Record'!K227+'Membership Record'!T227</f>
        <v>0</v>
      </c>
      <c r="M226" s="615">
        <f t="shared" si="29"/>
        <v>0</v>
      </c>
      <c r="N226" s="614">
        <f>'Membership Record'!L227+'Membership Record'!U227</f>
        <v>0</v>
      </c>
      <c r="O226" s="619">
        <f t="shared" si="30"/>
        <v>0</v>
      </c>
      <c r="P226" s="346"/>
      <c r="Q226" s="93"/>
      <c r="R226" s="94"/>
      <c r="S226" s="94"/>
      <c r="T226" s="330"/>
      <c r="U226" s="347"/>
      <c r="V226" s="92"/>
      <c r="W226" s="94"/>
      <c r="X226" s="95"/>
      <c r="Y226" s="95"/>
      <c r="Z226" s="95"/>
      <c r="AA226" s="94"/>
      <c r="AB226" s="346"/>
      <c r="AC226" s="93"/>
      <c r="AD226" s="94"/>
      <c r="AE226" s="94"/>
      <c r="AF226" s="330"/>
      <c r="AG226" s="347"/>
      <c r="AH226" s="92"/>
      <c r="AI226" s="94"/>
      <c r="AJ226" s="95"/>
      <c r="AK226" s="95"/>
      <c r="AL226" s="95"/>
      <c r="AM226" s="94"/>
      <c r="AN226" s="346"/>
      <c r="AO226" s="93"/>
      <c r="AP226" s="94"/>
      <c r="AQ226" s="94"/>
      <c r="AR226" s="330"/>
      <c r="AS226" s="347"/>
      <c r="AT226" s="92"/>
      <c r="AU226" s="94"/>
      <c r="AV226" s="95"/>
      <c r="AW226" s="95"/>
      <c r="AX226" s="95"/>
      <c r="AY226" s="94"/>
      <c r="AZ226" s="346"/>
      <c r="BA226" s="93"/>
      <c r="BB226" s="94"/>
      <c r="BC226" s="94"/>
      <c r="BD226" s="330"/>
      <c r="BE226" s="347"/>
      <c r="BF226" s="92"/>
      <c r="BG226" s="94"/>
      <c r="BH226" s="95"/>
      <c r="BI226" s="95"/>
      <c r="BJ226" s="95"/>
      <c r="BK226" s="94"/>
      <c r="BL226" s="346"/>
      <c r="BM226" s="93"/>
      <c r="BN226" s="94"/>
      <c r="BO226" s="94"/>
      <c r="BP226" s="330"/>
      <c r="BQ226" s="347"/>
      <c r="BR226" s="92"/>
      <c r="BS226" s="94"/>
      <c r="BT226" s="95"/>
      <c r="BU226" s="95"/>
      <c r="BV226" s="95"/>
      <c r="BW226" s="94"/>
      <c r="BX226" s="346"/>
      <c r="BY226" s="93"/>
      <c r="BZ226" s="94"/>
      <c r="CA226" s="94"/>
      <c r="CB226" s="330"/>
      <c r="CC226" s="347"/>
      <c r="CD226" s="92"/>
      <c r="CE226" s="94"/>
      <c r="CF226" s="95"/>
      <c r="CG226" s="95"/>
      <c r="CH226" s="95"/>
      <c r="CI226" s="94"/>
    </row>
    <row r="227" spans="1:87" x14ac:dyDescent="0.2">
      <c r="A227" s="8">
        <v>218</v>
      </c>
      <c r="B227" s="1125">
        <f>'Membership Record'!B228</f>
        <v>0</v>
      </c>
      <c r="C227" s="1125"/>
      <c r="D227" s="87">
        <f>'Membership Record'!G228+'Membership Record'!P228</f>
        <v>0</v>
      </c>
      <c r="E227" s="350">
        <f t="shared" si="25"/>
        <v>0</v>
      </c>
      <c r="F227" s="614">
        <f>'Membership Record'!H228+'Membership Record'!Q228</f>
        <v>0</v>
      </c>
      <c r="G227" s="615">
        <f t="shared" si="26"/>
        <v>0</v>
      </c>
      <c r="H227" s="614">
        <f>'Membership Record'!I228+'Membership Record'!R228</f>
        <v>0</v>
      </c>
      <c r="I227" s="616">
        <f t="shared" si="27"/>
        <v>0</v>
      </c>
      <c r="J227" s="614">
        <f>'Membership Record'!J228+'Membership Record'!S228</f>
        <v>0</v>
      </c>
      <c r="K227" s="618">
        <f t="shared" si="28"/>
        <v>0</v>
      </c>
      <c r="L227" s="618">
        <f>'Membership Record'!K228+'Membership Record'!T228</f>
        <v>0</v>
      </c>
      <c r="M227" s="615">
        <f t="shared" si="29"/>
        <v>0</v>
      </c>
      <c r="N227" s="614">
        <f>'Membership Record'!L228+'Membership Record'!U228</f>
        <v>0</v>
      </c>
      <c r="O227" s="619">
        <f t="shared" si="30"/>
        <v>0</v>
      </c>
      <c r="P227" s="346"/>
      <c r="Q227" s="93"/>
      <c r="R227" s="94"/>
      <c r="S227" s="94"/>
      <c r="T227" s="330"/>
      <c r="U227" s="347"/>
      <c r="V227" s="92"/>
      <c r="W227" s="94"/>
      <c r="X227" s="95"/>
      <c r="Y227" s="95"/>
      <c r="Z227" s="95"/>
      <c r="AA227" s="94"/>
      <c r="AB227" s="346"/>
      <c r="AC227" s="93"/>
      <c r="AD227" s="94"/>
      <c r="AE227" s="94"/>
      <c r="AF227" s="330"/>
      <c r="AG227" s="347"/>
      <c r="AH227" s="92"/>
      <c r="AI227" s="94"/>
      <c r="AJ227" s="95"/>
      <c r="AK227" s="95"/>
      <c r="AL227" s="95"/>
      <c r="AM227" s="94"/>
      <c r="AN227" s="346"/>
      <c r="AO227" s="93"/>
      <c r="AP227" s="94"/>
      <c r="AQ227" s="94"/>
      <c r="AR227" s="330"/>
      <c r="AS227" s="347"/>
      <c r="AT227" s="92"/>
      <c r="AU227" s="94"/>
      <c r="AV227" s="95"/>
      <c r="AW227" s="95"/>
      <c r="AX227" s="95"/>
      <c r="AY227" s="94"/>
      <c r="AZ227" s="346"/>
      <c r="BA227" s="93"/>
      <c r="BB227" s="94"/>
      <c r="BC227" s="94"/>
      <c r="BD227" s="330"/>
      <c r="BE227" s="347"/>
      <c r="BF227" s="92"/>
      <c r="BG227" s="94"/>
      <c r="BH227" s="95"/>
      <c r="BI227" s="95"/>
      <c r="BJ227" s="95"/>
      <c r="BK227" s="94"/>
      <c r="BL227" s="346"/>
      <c r="BM227" s="93"/>
      <c r="BN227" s="94"/>
      <c r="BO227" s="94"/>
      <c r="BP227" s="330"/>
      <c r="BQ227" s="347"/>
      <c r="BR227" s="92"/>
      <c r="BS227" s="94"/>
      <c r="BT227" s="95"/>
      <c r="BU227" s="95"/>
      <c r="BV227" s="95"/>
      <c r="BW227" s="94"/>
      <c r="BX227" s="346"/>
      <c r="BY227" s="93"/>
      <c r="BZ227" s="94"/>
      <c r="CA227" s="94"/>
      <c r="CB227" s="330"/>
      <c r="CC227" s="347"/>
      <c r="CD227" s="92"/>
      <c r="CE227" s="94"/>
      <c r="CF227" s="95"/>
      <c r="CG227" s="95"/>
      <c r="CH227" s="95"/>
      <c r="CI227" s="94"/>
    </row>
    <row r="228" spans="1:87" x14ac:dyDescent="0.2">
      <c r="A228" s="8">
        <v>219</v>
      </c>
      <c r="B228" s="1125">
        <f>'Membership Record'!B229</f>
        <v>0</v>
      </c>
      <c r="C228" s="1125"/>
      <c r="D228" s="87">
        <f>'Membership Record'!G229+'Membership Record'!P229</f>
        <v>0</v>
      </c>
      <c r="E228" s="350">
        <f t="shared" si="25"/>
        <v>0</v>
      </c>
      <c r="F228" s="614">
        <f>'Membership Record'!H229+'Membership Record'!Q229</f>
        <v>0</v>
      </c>
      <c r="G228" s="615">
        <f t="shared" si="26"/>
        <v>0</v>
      </c>
      <c r="H228" s="614">
        <f>'Membership Record'!I229+'Membership Record'!R229</f>
        <v>0</v>
      </c>
      <c r="I228" s="616">
        <f t="shared" si="27"/>
        <v>0</v>
      </c>
      <c r="J228" s="614">
        <f>'Membership Record'!J229+'Membership Record'!S229</f>
        <v>0</v>
      </c>
      <c r="K228" s="618">
        <f t="shared" si="28"/>
        <v>0</v>
      </c>
      <c r="L228" s="618">
        <f>'Membership Record'!K229+'Membership Record'!T229</f>
        <v>0</v>
      </c>
      <c r="M228" s="615">
        <f t="shared" si="29"/>
        <v>0</v>
      </c>
      <c r="N228" s="614">
        <f>'Membership Record'!L229+'Membership Record'!U229</f>
        <v>0</v>
      </c>
      <c r="O228" s="619">
        <f t="shared" si="30"/>
        <v>0</v>
      </c>
      <c r="P228" s="346"/>
      <c r="Q228" s="93"/>
      <c r="R228" s="94"/>
      <c r="S228" s="94"/>
      <c r="T228" s="330"/>
      <c r="U228" s="347"/>
      <c r="V228" s="92"/>
      <c r="W228" s="94"/>
      <c r="X228" s="95"/>
      <c r="Y228" s="95"/>
      <c r="Z228" s="95"/>
      <c r="AA228" s="94"/>
      <c r="AB228" s="346"/>
      <c r="AC228" s="93"/>
      <c r="AD228" s="94"/>
      <c r="AE228" s="94"/>
      <c r="AF228" s="330"/>
      <c r="AG228" s="347"/>
      <c r="AH228" s="92"/>
      <c r="AI228" s="94"/>
      <c r="AJ228" s="95"/>
      <c r="AK228" s="95"/>
      <c r="AL228" s="95"/>
      <c r="AM228" s="94"/>
      <c r="AN228" s="346"/>
      <c r="AO228" s="93"/>
      <c r="AP228" s="94"/>
      <c r="AQ228" s="94"/>
      <c r="AR228" s="330"/>
      <c r="AS228" s="347"/>
      <c r="AT228" s="92"/>
      <c r="AU228" s="94"/>
      <c r="AV228" s="95"/>
      <c r="AW228" s="95"/>
      <c r="AX228" s="95"/>
      <c r="AY228" s="94"/>
      <c r="AZ228" s="346"/>
      <c r="BA228" s="93"/>
      <c r="BB228" s="94"/>
      <c r="BC228" s="94"/>
      <c r="BD228" s="330"/>
      <c r="BE228" s="347"/>
      <c r="BF228" s="92"/>
      <c r="BG228" s="94"/>
      <c r="BH228" s="95"/>
      <c r="BI228" s="95"/>
      <c r="BJ228" s="95"/>
      <c r="BK228" s="94"/>
      <c r="BL228" s="346"/>
      <c r="BM228" s="93"/>
      <c r="BN228" s="94"/>
      <c r="BO228" s="94"/>
      <c r="BP228" s="330"/>
      <c r="BQ228" s="347"/>
      <c r="BR228" s="92"/>
      <c r="BS228" s="94"/>
      <c r="BT228" s="95"/>
      <c r="BU228" s="95"/>
      <c r="BV228" s="95"/>
      <c r="BW228" s="94"/>
      <c r="BX228" s="346"/>
      <c r="BY228" s="93"/>
      <c r="BZ228" s="94"/>
      <c r="CA228" s="94"/>
      <c r="CB228" s="330"/>
      <c r="CC228" s="347"/>
      <c r="CD228" s="92"/>
      <c r="CE228" s="94"/>
      <c r="CF228" s="95"/>
      <c r="CG228" s="95"/>
      <c r="CH228" s="95"/>
      <c r="CI228" s="94"/>
    </row>
    <row r="229" spans="1:87" x14ac:dyDescent="0.2">
      <c r="A229" s="8">
        <v>220</v>
      </c>
      <c r="B229" s="1125">
        <f>'Membership Record'!B230</f>
        <v>0</v>
      </c>
      <c r="C229" s="1125"/>
      <c r="D229" s="87">
        <f>'Membership Record'!G230+'Membership Record'!P230</f>
        <v>0</v>
      </c>
      <c r="E229" s="350">
        <f t="shared" si="25"/>
        <v>0</v>
      </c>
      <c r="F229" s="614">
        <f>'Membership Record'!H230+'Membership Record'!Q230</f>
        <v>0</v>
      </c>
      <c r="G229" s="615">
        <f t="shared" si="26"/>
        <v>0</v>
      </c>
      <c r="H229" s="614">
        <f>'Membership Record'!I230+'Membership Record'!R230</f>
        <v>0</v>
      </c>
      <c r="I229" s="616">
        <f t="shared" si="27"/>
        <v>0</v>
      </c>
      <c r="J229" s="614">
        <f>'Membership Record'!J230+'Membership Record'!S230</f>
        <v>0</v>
      </c>
      <c r="K229" s="618">
        <f t="shared" si="28"/>
        <v>0</v>
      </c>
      <c r="L229" s="618">
        <f>'Membership Record'!K230+'Membership Record'!T230</f>
        <v>0</v>
      </c>
      <c r="M229" s="615">
        <f t="shared" si="29"/>
        <v>0</v>
      </c>
      <c r="N229" s="614">
        <f>'Membership Record'!L230+'Membership Record'!U230</f>
        <v>0</v>
      </c>
      <c r="O229" s="619">
        <f t="shared" si="30"/>
        <v>0</v>
      </c>
      <c r="P229" s="346"/>
      <c r="Q229" s="93"/>
      <c r="R229" s="94"/>
      <c r="S229" s="94"/>
      <c r="T229" s="330"/>
      <c r="U229" s="347"/>
      <c r="V229" s="92"/>
      <c r="W229" s="94"/>
      <c r="X229" s="95"/>
      <c r="Y229" s="95"/>
      <c r="Z229" s="95"/>
      <c r="AA229" s="94"/>
      <c r="AB229" s="346"/>
      <c r="AC229" s="93"/>
      <c r="AD229" s="94"/>
      <c r="AE229" s="94"/>
      <c r="AF229" s="330"/>
      <c r="AG229" s="347"/>
      <c r="AH229" s="92"/>
      <c r="AI229" s="94"/>
      <c r="AJ229" s="95"/>
      <c r="AK229" s="95"/>
      <c r="AL229" s="95"/>
      <c r="AM229" s="94"/>
      <c r="AN229" s="346"/>
      <c r="AO229" s="93"/>
      <c r="AP229" s="94"/>
      <c r="AQ229" s="94"/>
      <c r="AR229" s="330"/>
      <c r="AS229" s="347"/>
      <c r="AT229" s="92"/>
      <c r="AU229" s="94"/>
      <c r="AV229" s="95"/>
      <c r="AW229" s="95"/>
      <c r="AX229" s="95"/>
      <c r="AY229" s="94"/>
      <c r="AZ229" s="346"/>
      <c r="BA229" s="93"/>
      <c r="BB229" s="94"/>
      <c r="BC229" s="94"/>
      <c r="BD229" s="330"/>
      <c r="BE229" s="347"/>
      <c r="BF229" s="92"/>
      <c r="BG229" s="94"/>
      <c r="BH229" s="95"/>
      <c r="BI229" s="95"/>
      <c r="BJ229" s="95"/>
      <c r="BK229" s="94"/>
      <c r="BL229" s="346"/>
      <c r="BM229" s="93"/>
      <c r="BN229" s="94"/>
      <c r="BO229" s="94"/>
      <c r="BP229" s="330"/>
      <c r="BQ229" s="347"/>
      <c r="BR229" s="92"/>
      <c r="BS229" s="94"/>
      <c r="BT229" s="95"/>
      <c r="BU229" s="95"/>
      <c r="BV229" s="95"/>
      <c r="BW229" s="94"/>
      <c r="BX229" s="346"/>
      <c r="BY229" s="93"/>
      <c r="BZ229" s="94"/>
      <c r="CA229" s="94"/>
      <c r="CB229" s="330"/>
      <c r="CC229" s="347"/>
      <c r="CD229" s="92"/>
      <c r="CE229" s="94"/>
      <c r="CF229" s="95"/>
      <c r="CG229" s="95"/>
      <c r="CH229" s="95"/>
      <c r="CI229" s="94"/>
    </row>
    <row r="230" spans="1:87" x14ac:dyDescent="0.2">
      <c r="A230" s="8">
        <v>221</v>
      </c>
      <c r="B230" s="1125">
        <f>'Membership Record'!B231</f>
        <v>0</v>
      </c>
      <c r="C230" s="1125"/>
      <c r="D230" s="87">
        <f>'Membership Record'!G231+'Membership Record'!P231</f>
        <v>0</v>
      </c>
      <c r="E230" s="350">
        <f t="shared" si="25"/>
        <v>0</v>
      </c>
      <c r="F230" s="614">
        <f>'Membership Record'!H231+'Membership Record'!Q231</f>
        <v>0</v>
      </c>
      <c r="G230" s="615">
        <f t="shared" si="26"/>
        <v>0</v>
      </c>
      <c r="H230" s="614">
        <f>'Membership Record'!I231+'Membership Record'!R231</f>
        <v>0</v>
      </c>
      <c r="I230" s="616">
        <f t="shared" si="27"/>
        <v>0</v>
      </c>
      <c r="J230" s="614">
        <f>'Membership Record'!J231+'Membership Record'!S231</f>
        <v>0</v>
      </c>
      <c r="K230" s="618">
        <f t="shared" si="28"/>
        <v>0</v>
      </c>
      <c r="L230" s="618">
        <f>'Membership Record'!K231+'Membership Record'!T231</f>
        <v>0</v>
      </c>
      <c r="M230" s="615">
        <f t="shared" si="29"/>
        <v>0</v>
      </c>
      <c r="N230" s="614">
        <f>'Membership Record'!L231+'Membership Record'!U231</f>
        <v>0</v>
      </c>
      <c r="O230" s="619">
        <f t="shared" si="30"/>
        <v>0</v>
      </c>
      <c r="P230" s="346"/>
      <c r="Q230" s="93"/>
      <c r="R230" s="94"/>
      <c r="S230" s="94"/>
      <c r="T230" s="330"/>
      <c r="U230" s="347"/>
      <c r="V230" s="92"/>
      <c r="W230" s="94"/>
      <c r="X230" s="95"/>
      <c r="Y230" s="95"/>
      <c r="Z230" s="95"/>
      <c r="AA230" s="94"/>
      <c r="AB230" s="346"/>
      <c r="AC230" s="93"/>
      <c r="AD230" s="94"/>
      <c r="AE230" s="94"/>
      <c r="AF230" s="330"/>
      <c r="AG230" s="347"/>
      <c r="AH230" s="92"/>
      <c r="AI230" s="94"/>
      <c r="AJ230" s="95"/>
      <c r="AK230" s="95"/>
      <c r="AL230" s="95"/>
      <c r="AM230" s="94"/>
      <c r="AN230" s="346"/>
      <c r="AO230" s="93"/>
      <c r="AP230" s="94"/>
      <c r="AQ230" s="94"/>
      <c r="AR230" s="330"/>
      <c r="AS230" s="347"/>
      <c r="AT230" s="92"/>
      <c r="AU230" s="94"/>
      <c r="AV230" s="95"/>
      <c r="AW230" s="95"/>
      <c r="AX230" s="95"/>
      <c r="AY230" s="94"/>
      <c r="AZ230" s="346"/>
      <c r="BA230" s="93"/>
      <c r="BB230" s="94"/>
      <c r="BC230" s="94"/>
      <c r="BD230" s="330"/>
      <c r="BE230" s="347"/>
      <c r="BF230" s="92"/>
      <c r="BG230" s="94"/>
      <c r="BH230" s="95"/>
      <c r="BI230" s="95"/>
      <c r="BJ230" s="95"/>
      <c r="BK230" s="94"/>
      <c r="BL230" s="346"/>
      <c r="BM230" s="93"/>
      <c r="BN230" s="94"/>
      <c r="BO230" s="94"/>
      <c r="BP230" s="330"/>
      <c r="BQ230" s="347"/>
      <c r="BR230" s="92"/>
      <c r="BS230" s="94"/>
      <c r="BT230" s="95"/>
      <c r="BU230" s="95"/>
      <c r="BV230" s="95"/>
      <c r="BW230" s="94"/>
      <c r="BX230" s="346"/>
      <c r="BY230" s="93"/>
      <c r="BZ230" s="94"/>
      <c r="CA230" s="94"/>
      <c r="CB230" s="330"/>
      <c r="CC230" s="347"/>
      <c r="CD230" s="92"/>
      <c r="CE230" s="94"/>
      <c r="CF230" s="95"/>
      <c r="CG230" s="95"/>
      <c r="CH230" s="95"/>
      <c r="CI230" s="94"/>
    </row>
    <row r="231" spans="1:87" x14ac:dyDescent="0.2">
      <c r="A231" s="8">
        <v>222</v>
      </c>
      <c r="B231" s="1125">
        <f>'Membership Record'!B232</f>
        <v>0</v>
      </c>
      <c r="C231" s="1125"/>
      <c r="D231" s="87">
        <f>'Membership Record'!G232+'Membership Record'!P232</f>
        <v>0</v>
      </c>
      <c r="E231" s="350">
        <f t="shared" si="25"/>
        <v>0</v>
      </c>
      <c r="F231" s="614">
        <f>'Membership Record'!H232+'Membership Record'!Q232</f>
        <v>0</v>
      </c>
      <c r="G231" s="615">
        <f t="shared" si="26"/>
        <v>0</v>
      </c>
      <c r="H231" s="614">
        <f>'Membership Record'!I232+'Membership Record'!R232</f>
        <v>0</v>
      </c>
      <c r="I231" s="616">
        <f t="shared" si="27"/>
        <v>0</v>
      </c>
      <c r="J231" s="614">
        <f>'Membership Record'!J232+'Membership Record'!S232</f>
        <v>0</v>
      </c>
      <c r="K231" s="618">
        <f t="shared" si="28"/>
        <v>0</v>
      </c>
      <c r="L231" s="618">
        <f>'Membership Record'!K232+'Membership Record'!T232</f>
        <v>0</v>
      </c>
      <c r="M231" s="615">
        <f t="shared" si="29"/>
        <v>0</v>
      </c>
      <c r="N231" s="614">
        <f>'Membership Record'!L232+'Membership Record'!U232</f>
        <v>0</v>
      </c>
      <c r="O231" s="619">
        <f t="shared" si="30"/>
        <v>0</v>
      </c>
      <c r="P231" s="346"/>
      <c r="Q231" s="93"/>
      <c r="R231" s="94"/>
      <c r="S231" s="94"/>
      <c r="T231" s="330"/>
      <c r="U231" s="347"/>
      <c r="V231" s="92"/>
      <c r="W231" s="94"/>
      <c r="X231" s="95"/>
      <c r="Y231" s="95"/>
      <c r="Z231" s="95"/>
      <c r="AA231" s="94"/>
      <c r="AB231" s="346"/>
      <c r="AC231" s="93"/>
      <c r="AD231" s="94"/>
      <c r="AE231" s="94"/>
      <c r="AF231" s="330"/>
      <c r="AG231" s="347"/>
      <c r="AH231" s="92"/>
      <c r="AI231" s="94"/>
      <c r="AJ231" s="95"/>
      <c r="AK231" s="95"/>
      <c r="AL231" s="95"/>
      <c r="AM231" s="94"/>
      <c r="AN231" s="346"/>
      <c r="AO231" s="93"/>
      <c r="AP231" s="94"/>
      <c r="AQ231" s="94"/>
      <c r="AR231" s="330"/>
      <c r="AS231" s="347"/>
      <c r="AT231" s="92"/>
      <c r="AU231" s="94"/>
      <c r="AV231" s="95"/>
      <c r="AW231" s="95"/>
      <c r="AX231" s="95"/>
      <c r="AY231" s="94"/>
      <c r="AZ231" s="346"/>
      <c r="BA231" s="93"/>
      <c r="BB231" s="94"/>
      <c r="BC231" s="94"/>
      <c r="BD231" s="330"/>
      <c r="BE231" s="347"/>
      <c r="BF231" s="92"/>
      <c r="BG231" s="94"/>
      <c r="BH231" s="95"/>
      <c r="BI231" s="95"/>
      <c r="BJ231" s="95"/>
      <c r="BK231" s="94"/>
      <c r="BL231" s="346"/>
      <c r="BM231" s="93"/>
      <c r="BN231" s="94"/>
      <c r="BO231" s="94"/>
      <c r="BP231" s="330"/>
      <c r="BQ231" s="347"/>
      <c r="BR231" s="92"/>
      <c r="BS231" s="94"/>
      <c r="BT231" s="95"/>
      <c r="BU231" s="95"/>
      <c r="BV231" s="95"/>
      <c r="BW231" s="94"/>
      <c r="BX231" s="346"/>
      <c r="BY231" s="93"/>
      <c r="BZ231" s="94"/>
      <c r="CA231" s="94"/>
      <c r="CB231" s="330"/>
      <c r="CC231" s="347"/>
      <c r="CD231" s="92"/>
      <c r="CE231" s="94"/>
      <c r="CF231" s="95"/>
      <c r="CG231" s="95"/>
      <c r="CH231" s="95"/>
      <c r="CI231" s="94"/>
    </row>
    <row r="232" spans="1:87" x14ac:dyDescent="0.2">
      <c r="A232" s="8">
        <v>223</v>
      </c>
      <c r="B232" s="1125">
        <f>'Membership Record'!B233</f>
        <v>0</v>
      </c>
      <c r="C232" s="1125"/>
      <c r="D232" s="87">
        <f>'Membership Record'!G233+'Membership Record'!P233</f>
        <v>0</v>
      </c>
      <c r="E232" s="350">
        <f t="shared" si="25"/>
        <v>0</v>
      </c>
      <c r="F232" s="614">
        <f>'Membership Record'!H233+'Membership Record'!Q233</f>
        <v>0</v>
      </c>
      <c r="G232" s="615">
        <f t="shared" si="26"/>
        <v>0</v>
      </c>
      <c r="H232" s="614">
        <f>'Membership Record'!I233+'Membership Record'!R233</f>
        <v>0</v>
      </c>
      <c r="I232" s="616">
        <f t="shared" si="27"/>
        <v>0</v>
      </c>
      <c r="J232" s="614">
        <f>'Membership Record'!J233+'Membership Record'!S233</f>
        <v>0</v>
      </c>
      <c r="K232" s="618">
        <f t="shared" si="28"/>
        <v>0</v>
      </c>
      <c r="L232" s="618">
        <f>'Membership Record'!K233+'Membership Record'!T233</f>
        <v>0</v>
      </c>
      <c r="M232" s="615">
        <f t="shared" si="29"/>
        <v>0</v>
      </c>
      <c r="N232" s="614">
        <f>'Membership Record'!L233+'Membership Record'!U233</f>
        <v>0</v>
      </c>
      <c r="O232" s="619">
        <f t="shared" si="30"/>
        <v>0</v>
      </c>
      <c r="P232" s="346"/>
      <c r="Q232" s="93"/>
      <c r="R232" s="94"/>
      <c r="S232" s="94"/>
      <c r="T232" s="330"/>
      <c r="U232" s="347"/>
      <c r="V232" s="92"/>
      <c r="W232" s="94"/>
      <c r="X232" s="95"/>
      <c r="Y232" s="95"/>
      <c r="Z232" s="95"/>
      <c r="AA232" s="94"/>
      <c r="AB232" s="346"/>
      <c r="AC232" s="93"/>
      <c r="AD232" s="94"/>
      <c r="AE232" s="94"/>
      <c r="AF232" s="330"/>
      <c r="AG232" s="347"/>
      <c r="AH232" s="92"/>
      <c r="AI232" s="94"/>
      <c r="AJ232" s="95"/>
      <c r="AK232" s="95"/>
      <c r="AL232" s="95"/>
      <c r="AM232" s="94"/>
      <c r="AN232" s="346"/>
      <c r="AO232" s="93"/>
      <c r="AP232" s="94"/>
      <c r="AQ232" s="94"/>
      <c r="AR232" s="330"/>
      <c r="AS232" s="347"/>
      <c r="AT232" s="92"/>
      <c r="AU232" s="94"/>
      <c r="AV232" s="95"/>
      <c r="AW232" s="95"/>
      <c r="AX232" s="95"/>
      <c r="AY232" s="94"/>
      <c r="AZ232" s="346"/>
      <c r="BA232" s="93"/>
      <c r="BB232" s="94"/>
      <c r="BC232" s="94"/>
      <c r="BD232" s="330"/>
      <c r="BE232" s="347"/>
      <c r="BF232" s="92"/>
      <c r="BG232" s="94"/>
      <c r="BH232" s="95"/>
      <c r="BI232" s="95"/>
      <c r="BJ232" s="95"/>
      <c r="BK232" s="94"/>
      <c r="BL232" s="346"/>
      <c r="BM232" s="93"/>
      <c r="BN232" s="94"/>
      <c r="BO232" s="94"/>
      <c r="BP232" s="330"/>
      <c r="BQ232" s="347"/>
      <c r="BR232" s="92"/>
      <c r="BS232" s="94"/>
      <c r="BT232" s="95"/>
      <c r="BU232" s="95"/>
      <c r="BV232" s="95"/>
      <c r="BW232" s="94"/>
      <c r="BX232" s="346"/>
      <c r="BY232" s="93"/>
      <c r="BZ232" s="94"/>
      <c r="CA232" s="94"/>
      <c r="CB232" s="330"/>
      <c r="CC232" s="347"/>
      <c r="CD232" s="92"/>
      <c r="CE232" s="94"/>
      <c r="CF232" s="95"/>
      <c r="CG232" s="95"/>
      <c r="CH232" s="95"/>
      <c r="CI232" s="94"/>
    </row>
    <row r="233" spans="1:87" x14ac:dyDescent="0.2">
      <c r="A233" s="8">
        <v>224</v>
      </c>
      <c r="B233" s="1125">
        <f>'Membership Record'!B234</f>
        <v>0</v>
      </c>
      <c r="C233" s="1125"/>
      <c r="D233" s="87">
        <f>'Membership Record'!G234+'Membership Record'!P234</f>
        <v>0</v>
      </c>
      <c r="E233" s="350">
        <f t="shared" si="25"/>
        <v>0</v>
      </c>
      <c r="F233" s="614">
        <f>'Membership Record'!H234+'Membership Record'!Q234</f>
        <v>0</v>
      </c>
      <c r="G233" s="615">
        <f t="shared" si="26"/>
        <v>0</v>
      </c>
      <c r="H233" s="614">
        <f>'Membership Record'!I234+'Membership Record'!R234</f>
        <v>0</v>
      </c>
      <c r="I233" s="616">
        <f t="shared" si="27"/>
        <v>0</v>
      </c>
      <c r="J233" s="614">
        <f>'Membership Record'!J234+'Membership Record'!S234</f>
        <v>0</v>
      </c>
      <c r="K233" s="618">
        <f t="shared" si="28"/>
        <v>0</v>
      </c>
      <c r="L233" s="618">
        <f>'Membership Record'!K234+'Membership Record'!T234</f>
        <v>0</v>
      </c>
      <c r="M233" s="615">
        <f t="shared" si="29"/>
        <v>0</v>
      </c>
      <c r="N233" s="614">
        <f>'Membership Record'!L234+'Membership Record'!U234</f>
        <v>0</v>
      </c>
      <c r="O233" s="619">
        <f t="shared" si="30"/>
        <v>0</v>
      </c>
      <c r="P233" s="346"/>
      <c r="Q233" s="93"/>
      <c r="R233" s="94"/>
      <c r="S233" s="94"/>
      <c r="T233" s="330"/>
      <c r="U233" s="347"/>
      <c r="V233" s="92"/>
      <c r="W233" s="94"/>
      <c r="X233" s="95"/>
      <c r="Y233" s="95"/>
      <c r="Z233" s="95"/>
      <c r="AA233" s="94"/>
      <c r="AB233" s="346"/>
      <c r="AC233" s="93"/>
      <c r="AD233" s="94"/>
      <c r="AE233" s="94"/>
      <c r="AF233" s="330"/>
      <c r="AG233" s="347"/>
      <c r="AH233" s="92"/>
      <c r="AI233" s="94"/>
      <c r="AJ233" s="95"/>
      <c r="AK233" s="95"/>
      <c r="AL233" s="95"/>
      <c r="AM233" s="94"/>
      <c r="AN233" s="346"/>
      <c r="AO233" s="93"/>
      <c r="AP233" s="94"/>
      <c r="AQ233" s="94"/>
      <c r="AR233" s="330"/>
      <c r="AS233" s="347"/>
      <c r="AT233" s="92"/>
      <c r="AU233" s="94"/>
      <c r="AV233" s="95"/>
      <c r="AW233" s="95"/>
      <c r="AX233" s="95"/>
      <c r="AY233" s="94"/>
      <c r="AZ233" s="346"/>
      <c r="BA233" s="93"/>
      <c r="BB233" s="94"/>
      <c r="BC233" s="94"/>
      <c r="BD233" s="330"/>
      <c r="BE233" s="347"/>
      <c r="BF233" s="92"/>
      <c r="BG233" s="94"/>
      <c r="BH233" s="95"/>
      <c r="BI233" s="95"/>
      <c r="BJ233" s="95"/>
      <c r="BK233" s="94"/>
      <c r="BL233" s="346"/>
      <c r="BM233" s="93"/>
      <c r="BN233" s="94"/>
      <c r="BO233" s="94"/>
      <c r="BP233" s="330"/>
      <c r="BQ233" s="347"/>
      <c r="BR233" s="92"/>
      <c r="BS233" s="94"/>
      <c r="BT233" s="95"/>
      <c r="BU233" s="95"/>
      <c r="BV233" s="95"/>
      <c r="BW233" s="94"/>
      <c r="BX233" s="346"/>
      <c r="BY233" s="93"/>
      <c r="BZ233" s="94"/>
      <c r="CA233" s="94"/>
      <c r="CB233" s="330"/>
      <c r="CC233" s="347"/>
      <c r="CD233" s="92"/>
      <c r="CE233" s="94"/>
      <c r="CF233" s="95"/>
      <c r="CG233" s="95"/>
      <c r="CH233" s="95"/>
      <c r="CI233" s="94"/>
    </row>
    <row r="234" spans="1:87" x14ac:dyDescent="0.2">
      <c r="A234" s="8">
        <v>225</v>
      </c>
      <c r="B234" s="1125">
        <f>'Membership Record'!B235</f>
        <v>0</v>
      </c>
      <c r="C234" s="1125"/>
      <c r="D234" s="87">
        <f>'Membership Record'!G235+'Membership Record'!P235</f>
        <v>0</v>
      </c>
      <c r="E234" s="350">
        <f t="shared" si="25"/>
        <v>0</v>
      </c>
      <c r="F234" s="614">
        <f>'Membership Record'!H235+'Membership Record'!Q235</f>
        <v>0</v>
      </c>
      <c r="G234" s="615">
        <f t="shared" si="26"/>
        <v>0</v>
      </c>
      <c r="H234" s="614">
        <f>'Membership Record'!I235+'Membership Record'!R235</f>
        <v>0</v>
      </c>
      <c r="I234" s="616">
        <f t="shared" si="27"/>
        <v>0</v>
      </c>
      <c r="J234" s="614">
        <f>'Membership Record'!J235+'Membership Record'!S235</f>
        <v>0</v>
      </c>
      <c r="K234" s="618">
        <f t="shared" si="28"/>
        <v>0</v>
      </c>
      <c r="L234" s="618">
        <f>'Membership Record'!K235+'Membership Record'!T235</f>
        <v>0</v>
      </c>
      <c r="M234" s="615">
        <f t="shared" si="29"/>
        <v>0</v>
      </c>
      <c r="N234" s="614">
        <f>'Membership Record'!L235+'Membership Record'!U235</f>
        <v>0</v>
      </c>
      <c r="O234" s="619">
        <f t="shared" si="30"/>
        <v>0</v>
      </c>
      <c r="P234" s="346"/>
      <c r="Q234" s="93"/>
      <c r="R234" s="94"/>
      <c r="S234" s="94"/>
      <c r="T234" s="330"/>
      <c r="U234" s="347"/>
      <c r="V234" s="92"/>
      <c r="W234" s="94"/>
      <c r="X234" s="95"/>
      <c r="Y234" s="95"/>
      <c r="Z234" s="95"/>
      <c r="AA234" s="94"/>
      <c r="AB234" s="346"/>
      <c r="AC234" s="93"/>
      <c r="AD234" s="94"/>
      <c r="AE234" s="94"/>
      <c r="AF234" s="330"/>
      <c r="AG234" s="347"/>
      <c r="AH234" s="92"/>
      <c r="AI234" s="94"/>
      <c r="AJ234" s="95"/>
      <c r="AK234" s="95"/>
      <c r="AL234" s="95"/>
      <c r="AM234" s="94"/>
      <c r="AN234" s="346"/>
      <c r="AO234" s="93"/>
      <c r="AP234" s="94"/>
      <c r="AQ234" s="94"/>
      <c r="AR234" s="330"/>
      <c r="AS234" s="347"/>
      <c r="AT234" s="92"/>
      <c r="AU234" s="94"/>
      <c r="AV234" s="95"/>
      <c r="AW234" s="95"/>
      <c r="AX234" s="95"/>
      <c r="AY234" s="94"/>
      <c r="AZ234" s="346"/>
      <c r="BA234" s="93"/>
      <c r="BB234" s="94"/>
      <c r="BC234" s="94"/>
      <c r="BD234" s="330"/>
      <c r="BE234" s="347"/>
      <c r="BF234" s="92"/>
      <c r="BG234" s="94"/>
      <c r="BH234" s="95"/>
      <c r="BI234" s="95"/>
      <c r="BJ234" s="95"/>
      <c r="BK234" s="94"/>
      <c r="BL234" s="346"/>
      <c r="BM234" s="93"/>
      <c r="BN234" s="94"/>
      <c r="BO234" s="94"/>
      <c r="BP234" s="330"/>
      <c r="BQ234" s="347"/>
      <c r="BR234" s="92"/>
      <c r="BS234" s="94"/>
      <c r="BT234" s="95"/>
      <c r="BU234" s="95"/>
      <c r="BV234" s="95"/>
      <c r="BW234" s="94"/>
      <c r="BX234" s="346"/>
      <c r="BY234" s="93"/>
      <c r="BZ234" s="94"/>
      <c r="CA234" s="94"/>
      <c r="CB234" s="330"/>
      <c r="CC234" s="347"/>
      <c r="CD234" s="92"/>
      <c r="CE234" s="94"/>
      <c r="CF234" s="95"/>
      <c r="CG234" s="95"/>
      <c r="CH234" s="95"/>
      <c r="CI234" s="94"/>
    </row>
    <row r="235" spans="1:87" x14ac:dyDescent="0.2">
      <c r="A235" s="8">
        <v>226</v>
      </c>
      <c r="B235" s="1125">
        <f>'Membership Record'!B236</f>
        <v>0</v>
      </c>
      <c r="C235" s="1125"/>
      <c r="D235" s="87">
        <f>'Membership Record'!G236+'Membership Record'!P236</f>
        <v>0</v>
      </c>
      <c r="E235" s="350">
        <f t="shared" si="25"/>
        <v>0</v>
      </c>
      <c r="F235" s="614">
        <f>'Membership Record'!H236+'Membership Record'!Q236</f>
        <v>0</v>
      </c>
      <c r="G235" s="615">
        <f t="shared" si="26"/>
        <v>0</v>
      </c>
      <c r="H235" s="614">
        <f>'Membership Record'!I236+'Membership Record'!R236</f>
        <v>0</v>
      </c>
      <c r="I235" s="616">
        <f t="shared" si="27"/>
        <v>0</v>
      </c>
      <c r="J235" s="614">
        <f>'Membership Record'!J236+'Membership Record'!S236</f>
        <v>0</v>
      </c>
      <c r="K235" s="618">
        <f t="shared" si="28"/>
        <v>0</v>
      </c>
      <c r="L235" s="618">
        <f>'Membership Record'!K236+'Membership Record'!T236</f>
        <v>0</v>
      </c>
      <c r="M235" s="615">
        <f t="shared" si="29"/>
        <v>0</v>
      </c>
      <c r="N235" s="614">
        <f>'Membership Record'!L236+'Membership Record'!U236</f>
        <v>0</v>
      </c>
      <c r="O235" s="619">
        <f t="shared" si="30"/>
        <v>0</v>
      </c>
      <c r="P235" s="346"/>
      <c r="Q235" s="93"/>
      <c r="R235" s="94"/>
      <c r="S235" s="94"/>
      <c r="T235" s="330"/>
      <c r="U235" s="347"/>
      <c r="V235" s="92"/>
      <c r="W235" s="94"/>
      <c r="X235" s="95"/>
      <c r="Y235" s="95"/>
      <c r="Z235" s="95"/>
      <c r="AA235" s="94"/>
      <c r="AB235" s="346"/>
      <c r="AC235" s="93"/>
      <c r="AD235" s="94"/>
      <c r="AE235" s="94"/>
      <c r="AF235" s="330"/>
      <c r="AG235" s="347"/>
      <c r="AH235" s="92"/>
      <c r="AI235" s="94"/>
      <c r="AJ235" s="95"/>
      <c r="AK235" s="95"/>
      <c r="AL235" s="95"/>
      <c r="AM235" s="94"/>
      <c r="AN235" s="346"/>
      <c r="AO235" s="93"/>
      <c r="AP235" s="94"/>
      <c r="AQ235" s="94"/>
      <c r="AR235" s="330"/>
      <c r="AS235" s="347"/>
      <c r="AT235" s="92"/>
      <c r="AU235" s="94"/>
      <c r="AV235" s="95"/>
      <c r="AW235" s="95"/>
      <c r="AX235" s="95"/>
      <c r="AY235" s="94"/>
      <c r="AZ235" s="346"/>
      <c r="BA235" s="93"/>
      <c r="BB235" s="94"/>
      <c r="BC235" s="94"/>
      <c r="BD235" s="330"/>
      <c r="BE235" s="347"/>
      <c r="BF235" s="92"/>
      <c r="BG235" s="94"/>
      <c r="BH235" s="95"/>
      <c r="BI235" s="95"/>
      <c r="BJ235" s="95"/>
      <c r="BK235" s="94"/>
      <c r="BL235" s="346"/>
      <c r="BM235" s="93"/>
      <c r="BN235" s="94"/>
      <c r="BO235" s="94"/>
      <c r="BP235" s="330"/>
      <c r="BQ235" s="347"/>
      <c r="BR235" s="92"/>
      <c r="BS235" s="94"/>
      <c r="BT235" s="95"/>
      <c r="BU235" s="95"/>
      <c r="BV235" s="95"/>
      <c r="BW235" s="94"/>
      <c r="BX235" s="346"/>
      <c r="BY235" s="93"/>
      <c r="BZ235" s="94"/>
      <c r="CA235" s="94"/>
      <c r="CB235" s="330"/>
      <c r="CC235" s="347"/>
      <c r="CD235" s="92"/>
      <c r="CE235" s="94"/>
      <c r="CF235" s="95"/>
      <c r="CG235" s="95"/>
      <c r="CH235" s="95"/>
      <c r="CI235" s="94"/>
    </row>
    <row r="236" spans="1:87" x14ac:dyDescent="0.2">
      <c r="A236" s="8">
        <v>227</v>
      </c>
      <c r="B236" s="1125">
        <f>'Membership Record'!B237</f>
        <v>0</v>
      </c>
      <c r="C236" s="1125"/>
      <c r="D236" s="87">
        <f>'Membership Record'!G237+'Membership Record'!P237</f>
        <v>0</v>
      </c>
      <c r="E236" s="350">
        <f t="shared" si="25"/>
        <v>0</v>
      </c>
      <c r="F236" s="614">
        <f>'Membership Record'!H237+'Membership Record'!Q237</f>
        <v>0</v>
      </c>
      <c r="G236" s="615">
        <f t="shared" si="26"/>
        <v>0</v>
      </c>
      <c r="H236" s="614">
        <f>'Membership Record'!I237+'Membership Record'!R237</f>
        <v>0</v>
      </c>
      <c r="I236" s="616">
        <f t="shared" si="27"/>
        <v>0</v>
      </c>
      <c r="J236" s="614">
        <f>'Membership Record'!J237+'Membership Record'!S237</f>
        <v>0</v>
      </c>
      <c r="K236" s="618">
        <f t="shared" si="28"/>
        <v>0</v>
      </c>
      <c r="L236" s="618">
        <f>'Membership Record'!K237+'Membership Record'!T237</f>
        <v>0</v>
      </c>
      <c r="M236" s="615">
        <f t="shared" si="29"/>
        <v>0</v>
      </c>
      <c r="N236" s="614">
        <f>'Membership Record'!L237+'Membership Record'!U237</f>
        <v>0</v>
      </c>
      <c r="O236" s="619">
        <f t="shared" si="30"/>
        <v>0</v>
      </c>
      <c r="P236" s="346"/>
      <c r="Q236" s="93"/>
      <c r="R236" s="94"/>
      <c r="S236" s="94"/>
      <c r="T236" s="330"/>
      <c r="U236" s="347"/>
      <c r="V236" s="92"/>
      <c r="W236" s="94"/>
      <c r="X236" s="95"/>
      <c r="Y236" s="95"/>
      <c r="Z236" s="95"/>
      <c r="AA236" s="94"/>
      <c r="AB236" s="346"/>
      <c r="AC236" s="93"/>
      <c r="AD236" s="94"/>
      <c r="AE236" s="94"/>
      <c r="AF236" s="330"/>
      <c r="AG236" s="347"/>
      <c r="AH236" s="92"/>
      <c r="AI236" s="94"/>
      <c r="AJ236" s="95"/>
      <c r="AK236" s="95"/>
      <c r="AL236" s="95"/>
      <c r="AM236" s="94"/>
      <c r="AN236" s="346"/>
      <c r="AO236" s="93"/>
      <c r="AP236" s="94"/>
      <c r="AQ236" s="94"/>
      <c r="AR236" s="330"/>
      <c r="AS236" s="347"/>
      <c r="AT236" s="92"/>
      <c r="AU236" s="94"/>
      <c r="AV236" s="95"/>
      <c r="AW236" s="95"/>
      <c r="AX236" s="95"/>
      <c r="AY236" s="94"/>
      <c r="AZ236" s="346"/>
      <c r="BA236" s="93"/>
      <c r="BB236" s="94"/>
      <c r="BC236" s="94"/>
      <c r="BD236" s="330"/>
      <c r="BE236" s="347"/>
      <c r="BF236" s="92"/>
      <c r="BG236" s="94"/>
      <c r="BH236" s="95"/>
      <c r="BI236" s="95"/>
      <c r="BJ236" s="95"/>
      <c r="BK236" s="94"/>
      <c r="BL236" s="346"/>
      <c r="BM236" s="93"/>
      <c r="BN236" s="94"/>
      <c r="BO236" s="94"/>
      <c r="BP236" s="330"/>
      <c r="BQ236" s="347"/>
      <c r="BR236" s="92"/>
      <c r="BS236" s="94"/>
      <c r="BT236" s="95"/>
      <c r="BU236" s="95"/>
      <c r="BV236" s="95"/>
      <c r="BW236" s="94"/>
      <c r="BX236" s="346"/>
      <c r="BY236" s="93"/>
      <c r="BZ236" s="94"/>
      <c r="CA236" s="94"/>
      <c r="CB236" s="330"/>
      <c r="CC236" s="347"/>
      <c r="CD236" s="92"/>
      <c r="CE236" s="94"/>
      <c r="CF236" s="95"/>
      <c r="CG236" s="95"/>
      <c r="CH236" s="95"/>
      <c r="CI236" s="94"/>
    </row>
    <row r="237" spans="1:87" x14ac:dyDescent="0.2">
      <c r="A237" s="8">
        <v>228</v>
      </c>
      <c r="B237" s="1125">
        <f>'Membership Record'!B238</f>
        <v>0</v>
      </c>
      <c r="C237" s="1125"/>
      <c r="D237" s="87">
        <f>'Membership Record'!G238+'Membership Record'!P238</f>
        <v>0</v>
      </c>
      <c r="E237" s="350">
        <f t="shared" si="25"/>
        <v>0</v>
      </c>
      <c r="F237" s="614">
        <f>'Membership Record'!H238+'Membership Record'!Q238</f>
        <v>0</v>
      </c>
      <c r="G237" s="615">
        <f t="shared" si="26"/>
        <v>0</v>
      </c>
      <c r="H237" s="614">
        <f>'Membership Record'!I238+'Membership Record'!R238</f>
        <v>0</v>
      </c>
      <c r="I237" s="616">
        <f t="shared" si="27"/>
        <v>0</v>
      </c>
      <c r="J237" s="614">
        <f>'Membership Record'!J238+'Membership Record'!S238</f>
        <v>0</v>
      </c>
      <c r="K237" s="618">
        <f t="shared" si="28"/>
        <v>0</v>
      </c>
      <c r="L237" s="618">
        <f>'Membership Record'!K238+'Membership Record'!T238</f>
        <v>0</v>
      </c>
      <c r="M237" s="615">
        <f t="shared" si="29"/>
        <v>0</v>
      </c>
      <c r="N237" s="614">
        <f>'Membership Record'!L238+'Membership Record'!U238</f>
        <v>0</v>
      </c>
      <c r="O237" s="619">
        <f t="shared" si="30"/>
        <v>0</v>
      </c>
      <c r="P237" s="346"/>
      <c r="Q237" s="93"/>
      <c r="R237" s="94"/>
      <c r="S237" s="94"/>
      <c r="T237" s="330"/>
      <c r="U237" s="347"/>
      <c r="V237" s="92"/>
      <c r="W237" s="94"/>
      <c r="X237" s="95"/>
      <c r="Y237" s="95"/>
      <c r="Z237" s="95"/>
      <c r="AA237" s="94"/>
      <c r="AB237" s="346"/>
      <c r="AC237" s="93"/>
      <c r="AD237" s="94"/>
      <c r="AE237" s="94"/>
      <c r="AF237" s="330"/>
      <c r="AG237" s="347"/>
      <c r="AH237" s="92"/>
      <c r="AI237" s="94"/>
      <c r="AJ237" s="95"/>
      <c r="AK237" s="95"/>
      <c r="AL237" s="95"/>
      <c r="AM237" s="94"/>
      <c r="AN237" s="346"/>
      <c r="AO237" s="93"/>
      <c r="AP237" s="94"/>
      <c r="AQ237" s="94"/>
      <c r="AR237" s="330"/>
      <c r="AS237" s="347"/>
      <c r="AT237" s="92"/>
      <c r="AU237" s="94"/>
      <c r="AV237" s="95"/>
      <c r="AW237" s="95"/>
      <c r="AX237" s="95"/>
      <c r="AY237" s="94"/>
      <c r="AZ237" s="346"/>
      <c r="BA237" s="93"/>
      <c r="BB237" s="94"/>
      <c r="BC237" s="94"/>
      <c r="BD237" s="330"/>
      <c r="BE237" s="347"/>
      <c r="BF237" s="92"/>
      <c r="BG237" s="94"/>
      <c r="BH237" s="95"/>
      <c r="BI237" s="95"/>
      <c r="BJ237" s="95"/>
      <c r="BK237" s="94"/>
      <c r="BL237" s="346"/>
      <c r="BM237" s="93"/>
      <c r="BN237" s="94"/>
      <c r="BO237" s="94"/>
      <c r="BP237" s="330"/>
      <c r="BQ237" s="347"/>
      <c r="BR237" s="92"/>
      <c r="BS237" s="94"/>
      <c r="BT237" s="95"/>
      <c r="BU237" s="95"/>
      <c r="BV237" s="95"/>
      <c r="BW237" s="94"/>
      <c r="BX237" s="346"/>
      <c r="BY237" s="93"/>
      <c r="BZ237" s="94"/>
      <c r="CA237" s="94"/>
      <c r="CB237" s="330"/>
      <c r="CC237" s="347"/>
      <c r="CD237" s="92"/>
      <c r="CE237" s="94"/>
      <c r="CF237" s="95"/>
      <c r="CG237" s="95"/>
      <c r="CH237" s="95"/>
      <c r="CI237" s="94"/>
    </row>
    <row r="238" spans="1:87" x14ac:dyDescent="0.2">
      <c r="A238" s="8">
        <v>229</v>
      </c>
      <c r="B238" s="1125">
        <f>'Membership Record'!B239</f>
        <v>0</v>
      </c>
      <c r="C238" s="1125"/>
      <c r="D238" s="87">
        <f>'Membership Record'!G239+'Membership Record'!P239</f>
        <v>0</v>
      </c>
      <c r="E238" s="350">
        <f t="shared" si="25"/>
        <v>0</v>
      </c>
      <c r="F238" s="614">
        <f>'Membership Record'!H239+'Membership Record'!Q239</f>
        <v>0</v>
      </c>
      <c r="G238" s="615">
        <f t="shared" si="26"/>
        <v>0</v>
      </c>
      <c r="H238" s="614">
        <f>'Membership Record'!I239+'Membership Record'!R239</f>
        <v>0</v>
      </c>
      <c r="I238" s="616">
        <f t="shared" si="27"/>
        <v>0</v>
      </c>
      <c r="J238" s="614">
        <f>'Membership Record'!J239+'Membership Record'!S239</f>
        <v>0</v>
      </c>
      <c r="K238" s="618">
        <f t="shared" si="28"/>
        <v>0</v>
      </c>
      <c r="L238" s="618">
        <f>'Membership Record'!K239+'Membership Record'!T239</f>
        <v>0</v>
      </c>
      <c r="M238" s="615">
        <f t="shared" si="29"/>
        <v>0</v>
      </c>
      <c r="N238" s="614">
        <f>'Membership Record'!L239+'Membership Record'!U239</f>
        <v>0</v>
      </c>
      <c r="O238" s="619">
        <f t="shared" si="30"/>
        <v>0</v>
      </c>
      <c r="P238" s="346"/>
      <c r="Q238" s="93"/>
      <c r="R238" s="94"/>
      <c r="S238" s="94"/>
      <c r="T238" s="330"/>
      <c r="U238" s="347"/>
      <c r="V238" s="92"/>
      <c r="W238" s="94"/>
      <c r="X238" s="95"/>
      <c r="Y238" s="95"/>
      <c r="Z238" s="95"/>
      <c r="AA238" s="94"/>
      <c r="AB238" s="346"/>
      <c r="AC238" s="93"/>
      <c r="AD238" s="94"/>
      <c r="AE238" s="94"/>
      <c r="AF238" s="330"/>
      <c r="AG238" s="347"/>
      <c r="AH238" s="92"/>
      <c r="AI238" s="94"/>
      <c r="AJ238" s="95"/>
      <c r="AK238" s="95"/>
      <c r="AL238" s="95"/>
      <c r="AM238" s="94"/>
      <c r="AN238" s="346"/>
      <c r="AO238" s="93"/>
      <c r="AP238" s="94"/>
      <c r="AQ238" s="94"/>
      <c r="AR238" s="330"/>
      <c r="AS238" s="347"/>
      <c r="AT238" s="92"/>
      <c r="AU238" s="94"/>
      <c r="AV238" s="95"/>
      <c r="AW238" s="95"/>
      <c r="AX238" s="95"/>
      <c r="AY238" s="94"/>
      <c r="AZ238" s="346"/>
      <c r="BA238" s="93"/>
      <c r="BB238" s="94"/>
      <c r="BC238" s="94"/>
      <c r="BD238" s="330"/>
      <c r="BE238" s="347"/>
      <c r="BF238" s="92"/>
      <c r="BG238" s="94"/>
      <c r="BH238" s="95"/>
      <c r="BI238" s="95"/>
      <c r="BJ238" s="95"/>
      <c r="BK238" s="94"/>
      <c r="BL238" s="346"/>
      <c r="BM238" s="93"/>
      <c r="BN238" s="94"/>
      <c r="BO238" s="94"/>
      <c r="BP238" s="330"/>
      <c r="BQ238" s="347"/>
      <c r="BR238" s="92"/>
      <c r="BS238" s="94"/>
      <c r="BT238" s="95"/>
      <c r="BU238" s="95"/>
      <c r="BV238" s="95"/>
      <c r="BW238" s="94"/>
      <c r="BX238" s="346"/>
      <c r="BY238" s="93"/>
      <c r="BZ238" s="94"/>
      <c r="CA238" s="94"/>
      <c r="CB238" s="330"/>
      <c r="CC238" s="347"/>
      <c r="CD238" s="92"/>
      <c r="CE238" s="94"/>
      <c r="CF238" s="95"/>
      <c r="CG238" s="95"/>
      <c r="CH238" s="95"/>
      <c r="CI238" s="94"/>
    </row>
    <row r="239" spans="1:87" x14ac:dyDescent="0.2">
      <c r="A239" s="8">
        <v>230</v>
      </c>
      <c r="B239" s="1125">
        <f>'Membership Record'!B240</f>
        <v>0</v>
      </c>
      <c r="C239" s="1125"/>
      <c r="D239" s="87">
        <f>'Membership Record'!G240+'Membership Record'!P240</f>
        <v>0</v>
      </c>
      <c r="E239" s="350">
        <f t="shared" si="25"/>
        <v>0</v>
      </c>
      <c r="F239" s="614">
        <f>'Membership Record'!H240+'Membership Record'!Q240</f>
        <v>0</v>
      </c>
      <c r="G239" s="615">
        <f t="shared" si="26"/>
        <v>0</v>
      </c>
      <c r="H239" s="614">
        <f>'Membership Record'!I240+'Membership Record'!R240</f>
        <v>0</v>
      </c>
      <c r="I239" s="616">
        <f t="shared" si="27"/>
        <v>0</v>
      </c>
      <c r="J239" s="614">
        <f>'Membership Record'!J240+'Membership Record'!S240</f>
        <v>0</v>
      </c>
      <c r="K239" s="618">
        <f t="shared" si="28"/>
        <v>0</v>
      </c>
      <c r="L239" s="618">
        <f>'Membership Record'!K240+'Membership Record'!T240</f>
        <v>0</v>
      </c>
      <c r="M239" s="615">
        <f t="shared" si="29"/>
        <v>0</v>
      </c>
      <c r="N239" s="614">
        <f>'Membership Record'!L240+'Membership Record'!U240</f>
        <v>0</v>
      </c>
      <c r="O239" s="619">
        <f t="shared" si="30"/>
        <v>0</v>
      </c>
      <c r="P239" s="346"/>
      <c r="Q239" s="93"/>
      <c r="R239" s="94"/>
      <c r="S239" s="94"/>
      <c r="T239" s="330"/>
      <c r="U239" s="347"/>
      <c r="V239" s="92"/>
      <c r="W239" s="94"/>
      <c r="X239" s="95"/>
      <c r="Y239" s="95"/>
      <c r="Z239" s="95"/>
      <c r="AA239" s="94"/>
      <c r="AB239" s="346"/>
      <c r="AC239" s="93"/>
      <c r="AD239" s="94"/>
      <c r="AE239" s="94"/>
      <c r="AF239" s="330"/>
      <c r="AG239" s="347"/>
      <c r="AH239" s="92"/>
      <c r="AI239" s="94"/>
      <c r="AJ239" s="95"/>
      <c r="AK239" s="95"/>
      <c r="AL239" s="95"/>
      <c r="AM239" s="94"/>
      <c r="AN239" s="346"/>
      <c r="AO239" s="93"/>
      <c r="AP239" s="94"/>
      <c r="AQ239" s="94"/>
      <c r="AR239" s="330"/>
      <c r="AS239" s="347"/>
      <c r="AT239" s="92"/>
      <c r="AU239" s="94"/>
      <c r="AV239" s="95"/>
      <c r="AW239" s="95"/>
      <c r="AX239" s="95"/>
      <c r="AY239" s="94"/>
      <c r="AZ239" s="346"/>
      <c r="BA239" s="93"/>
      <c r="BB239" s="94"/>
      <c r="BC239" s="94"/>
      <c r="BD239" s="330"/>
      <c r="BE239" s="347"/>
      <c r="BF239" s="92"/>
      <c r="BG239" s="94"/>
      <c r="BH239" s="95"/>
      <c r="BI239" s="95"/>
      <c r="BJ239" s="95"/>
      <c r="BK239" s="94"/>
      <c r="BL239" s="346"/>
      <c r="BM239" s="93"/>
      <c r="BN239" s="94"/>
      <c r="BO239" s="94"/>
      <c r="BP239" s="330"/>
      <c r="BQ239" s="347"/>
      <c r="BR239" s="92"/>
      <c r="BS239" s="94"/>
      <c r="BT239" s="95"/>
      <c r="BU239" s="95"/>
      <c r="BV239" s="95"/>
      <c r="BW239" s="94"/>
      <c r="BX239" s="346"/>
      <c r="BY239" s="93"/>
      <c r="BZ239" s="94"/>
      <c r="CA239" s="94"/>
      <c r="CB239" s="330"/>
      <c r="CC239" s="347"/>
      <c r="CD239" s="92"/>
      <c r="CE239" s="94"/>
      <c r="CF239" s="95"/>
      <c r="CG239" s="95"/>
      <c r="CH239" s="95"/>
      <c r="CI239" s="94"/>
    </row>
    <row r="240" spans="1:87" x14ac:dyDescent="0.2">
      <c r="A240" s="8">
        <v>231</v>
      </c>
      <c r="B240" s="1125">
        <f>'Membership Record'!B241</f>
        <v>0</v>
      </c>
      <c r="C240" s="1125"/>
      <c r="D240" s="87">
        <f>'Membership Record'!G241+'Membership Record'!P241</f>
        <v>0</v>
      </c>
      <c r="E240" s="350">
        <f t="shared" si="25"/>
        <v>0</v>
      </c>
      <c r="F240" s="614">
        <f>'Membership Record'!H241+'Membership Record'!Q241</f>
        <v>0</v>
      </c>
      <c r="G240" s="615">
        <f t="shared" si="26"/>
        <v>0</v>
      </c>
      <c r="H240" s="614">
        <f>'Membership Record'!I241+'Membership Record'!R241</f>
        <v>0</v>
      </c>
      <c r="I240" s="616">
        <f t="shared" si="27"/>
        <v>0</v>
      </c>
      <c r="J240" s="614">
        <f>'Membership Record'!J241+'Membership Record'!S241</f>
        <v>0</v>
      </c>
      <c r="K240" s="618">
        <f t="shared" si="28"/>
        <v>0</v>
      </c>
      <c r="L240" s="618">
        <f>'Membership Record'!K241+'Membership Record'!T241</f>
        <v>0</v>
      </c>
      <c r="M240" s="615">
        <f t="shared" si="29"/>
        <v>0</v>
      </c>
      <c r="N240" s="614">
        <f>'Membership Record'!L241+'Membership Record'!U241</f>
        <v>0</v>
      </c>
      <c r="O240" s="619">
        <f t="shared" si="30"/>
        <v>0</v>
      </c>
      <c r="P240" s="346"/>
      <c r="Q240" s="93"/>
      <c r="R240" s="94"/>
      <c r="S240" s="94"/>
      <c r="T240" s="330"/>
      <c r="U240" s="347"/>
      <c r="V240" s="92"/>
      <c r="W240" s="94"/>
      <c r="X240" s="95"/>
      <c r="Y240" s="95"/>
      <c r="Z240" s="95"/>
      <c r="AA240" s="94"/>
      <c r="AB240" s="346"/>
      <c r="AC240" s="93"/>
      <c r="AD240" s="94"/>
      <c r="AE240" s="94"/>
      <c r="AF240" s="330"/>
      <c r="AG240" s="347"/>
      <c r="AH240" s="92"/>
      <c r="AI240" s="94"/>
      <c r="AJ240" s="95"/>
      <c r="AK240" s="95"/>
      <c r="AL240" s="95"/>
      <c r="AM240" s="94"/>
      <c r="AN240" s="346"/>
      <c r="AO240" s="93"/>
      <c r="AP240" s="94"/>
      <c r="AQ240" s="94"/>
      <c r="AR240" s="330"/>
      <c r="AS240" s="347"/>
      <c r="AT240" s="92"/>
      <c r="AU240" s="94"/>
      <c r="AV240" s="95"/>
      <c r="AW240" s="95"/>
      <c r="AX240" s="95"/>
      <c r="AY240" s="94"/>
      <c r="AZ240" s="346"/>
      <c r="BA240" s="93"/>
      <c r="BB240" s="94"/>
      <c r="BC240" s="94"/>
      <c r="BD240" s="330"/>
      <c r="BE240" s="347"/>
      <c r="BF240" s="92"/>
      <c r="BG240" s="94"/>
      <c r="BH240" s="95"/>
      <c r="BI240" s="95"/>
      <c r="BJ240" s="95"/>
      <c r="BK240" s="94"/>
      <c r="BL240" s="346"/>
      <c r="BM240" s="93"/>
      <c r="BN240" s="94"/>
      <c r="BO240" s="94"/>
      <c r="BP240" s="330"/>
      <c r="BQ240" s="347"/>
      <c r="BR240" s="92"/>
      <c r="BS240" s="94"/>
      <c r="BT240" s="95"/>
      <c r="BU240" s="95"/>
      <c r="BV240" s="95"/>
      <c r="BW240" s="94"/>
      <c r="BX240" s="346"/>
      <c r="BY240" s="93"/>
      <c r="BZ240" s="94"/>
      <c r="CA240" s="94"/>
      <c r="CB240" s="330"/>
      <c r="CC240" s="347"/>
      <c r="CD240" s="92"/>
      <c r="CE240" s="94"/>
      <c r="CF240" s="95"/>
      <c r="CG240" s="95"/>
      <c r="CH240" s="95"/>
      <c r="CI240" s="94"/>
    </row>
    <row r="241" spans="1:87" x14ac:dyDescent="0.2">
      <c r="A241" s="8">
        <v>232</v>
      </c>
      <c r="B241" s="1125">
        <f>'Membership Record'!B242</f>
        <v>0</v>
      </c>
      <c r="C241" s="1125"/>
      <c r="D241" s="87">
        <f>'Membership Record'!G242+'Membership Record'!P242</f>
        <v>0</v>
      </c>
      <c r="E241" s="350">
        <f t="shared" si="25"/>
        <v>0</v>
      </c>
      <c r="F241" s="614">
        <f>'Membership Record'!H242+'Membership Record'!Q242</f>
        <v>0</v>
      </c>
      <c r="G241" s="615">
        <f t="shared" si="26"/>
        <v>0</v>
      </c>
      <c r="H241" s="614">
        <f>'Membership Record'!I242+'Membership Record'!R242</f>
        <v>0</v>
      </c>
      <c r="I241" s="616">
        <f t="shared" si="27"/>
        <v>0</v>
      </c>
      <c r="J241" s="614">
        <f>'Membership Record'!J242+'Membership Record'!S242</f>
        <v>0</v>
      </c>
      <c r="K241" s="618">
        <f t="shared" si="28"/>
        <v>0</v>
      </c>
      <c r="L241" s="618">
        <f>'Membership Record'!K242+'Membership Record'!T242</f>
        <v>0</v>
      </c>
      <c r="M241" s="615">
        <f t="shared" si="29"/>
        <v>0</v>
      </c>
      <c r="N241" s="614">
        <f>'Membership Record'!L242+'Membership Record'!U242</f>
        <v>0</v>
      </c>
      <c r="O241" s="619">
        <f t="shared" si="30"/>
        <v>0</v>
      </c>
      <c r="P241" s="346"/>
      <c r="Q241" s="93"/>
      <c r="R241" s="94"/>
      <c r="S241" s="94"/>
      <c r="T241" s="330"/>
      <c r="U241" s="347"/>
      <c r="V241" s="92"/>
      <c r="W241" s="94"/>
      <c r="X241" s="95"/>
      <c r="Y241" s="95"/>
      <c r="Z241" s="95"/>
      <c r="AA241" s="94"/>
      <c r="AB241" s="346"/>
      <c r="AC241" s="93"/>
      <c r="AD241" s="94"/>
      <c r="AE241" s="94"/>
      <c r="AF241" s="330"/>
      <c r="AG241" s="347"/>
      <c r="AH241" s="92"/>
      <c r="AI241" s="94"/>
      <c r="AJ241" s="95"/>
      <c r="AK241" s="95"/>
      <c r="AL241" s="95"/>
      <c r="AM241" s="94"/>
      <c r="AN241" s="346"/>
      <c r="AO241" s="93"/>
      <c r="AP241" s="94"/>
      <c r="AQ241" s="94"/>
      <c r="AR241" s="330"/>
      <c r="AS241" s="347"/>
      <c r="AT241" s="92"/>
      <c r="AU241" s="94"/>
      <c r="AV241" s="95"/>
      <c r="AW241" s="95"/>
      <c r="AX241" s="95"/>
      <c r="AY241" s="94"/>
      <c r="AZ241" s="346"/>
      <c r="BA241" s="93"/>
      <c r="BB241" s="94"/>
      <c r="BC241" s="94"/>
      <c r="BD241" s="330"/>
      <c r="BE241" s="347"/>
      <c r="BF241" s="92"/>
      <c r="BG241" s="94"/>
      <c r="BH241" s="95"/>
      <c r="BI241" s="95"/>
      <c r="BJ241" s="95"/>
      <c r="BK241" s="94"/>
      <c r="BL241" s="346"/>
      <c r="BM241" s="93"/>
      <c r="BN241" s="94"/>
      <c r="BO241" s="94"/>
      <c r="BP241" s="330"/>
      <c r="BQ241" s="347"/>
      <c r="BR241" s="92"/>
      <c r="BS241" s="94"/>
      <c r="BT241" s="95"/>
      <c r="BU241" s="95"/>
      <c r="BV241" s="95"/>
      <c r="BW241" s="94"/>
      <c r="BX241" s="346"/>
      <c r="BY241" s="93"/>
      <c r="BZ241" s="94"/>
      <c r="CA241" s="94"/>
      <c r="CB241" s="330"/>
      <c r="CC241" s="347"/>
      <c r="CD241" s="92"/>
      <c r="CE241" s="94"/>
      <c r="CF241" s="95"/>
      <c r="CG241" s="95"/>
      <c r="CH241" s="95"/>
      <c r="CI241" s="94"/>
    </row>
    <row r="242" spans="1:87" x14ac:dyDescent="0.2">
      <c r="A242" s="8">
        <v>233</v>
      </c>
      <c r="B242" s="1125">
        <f>'Membership Record'!B243</f>
        <v>0</v>
      </c>
      <c r="C242" s="1125"/>
      <c r="D242" s="87">
        <f>'Membership Record'!G243+'Membership Record'!P243</f>
        <v>0</v>
      </c>
      <c r="E242" s="350">
        <f t="shared" si="25"/>
        <v>0</v>
      </c>
      <c r="F242" s="614">
        <f>'Membership Record'!H243+'Membership Record'!Q243</f>
        <v>0</v>
      </c>
      <c r="G242" s="615">
        <f t="shared" si="26"/>
        <v>0</v>
      </c>
      <c r="H242" s="614">
        <f>'Membership Record'!I243+'Membership Record'!R243</f>
        <v>0</v>
      </c>
      <c r="I242" s="616">
        <f t="shared" si="27"/>
        <v>0</v>
      </c>
      <c r="J242" s="614">
        <f>'Membership Record'!J243+'Membership Record'!S243</f>
        <v>0</v>
      </c>
      <c r="K242" s="618">
        <f t="shared" si="28"/>
        <v>0</v>
      </c>
      <c r="L242" s="618">
        <f>'Membership Record'!K243+'Membership Record'!T243</f>
        <v>0</v>
      </c>
      <c r="M242" s="615">
        <f t="shared" si="29"/>
        <v>0</v>
      </c>
      <c r="N242" s="614">
        <f>'Membership Record'!L243+'Membership Record'!U243</f>
        <v>0</v>
      </c>
      <c r="O242" s="619">
        <f t="shared" si="30"/>
        <v>0</v>
      </c>
      <c r="P242" s="346"/>
      <c r="Q242" s="93"/>
      <c r="R242" s="94"/>
      <c r="S242" s="94"/>
      <c r="T242" s="330"/>
      <c r="U242" s="347"/>
      <c r="V242" s="92"/>
      <c r="W242" s="94"/>
      <c r="X242" s="95"/>
      <c r="Y242" s="95"/>
      <c r="Z242" s="95"/>
      <c r="AA242" s="94"/>
      <c r="AB242" s="346"/>
      <c r="AC242" s="93"/>
      <c r="AD242" s="94"/>
      <c r="AE242" s="94"/>
      <c r="AF242" s="330"/>
      <c r="AG242" s="347"/>
      <c r="AH242" s="92"/>
      <c r="AI242" s="94"/>
      <c r="AJ242" s="95"/>
      <c r="AK242" s="95"/>
      <c r="AL242" s="95"/>
      <c r="AM242" s="94"/>
      <c r="AN242" s="346"/>
      <c r="AO242" s="93"/>
      <c r="AP242" s="94"/>
      <c r="AQ242" s="94"/>
      <c r="AR242" s="330"/>
      <c r="AS242" s="347"/>
      <c r="AT242" s="92"/>
      <c r="AU242" s="94"/>
      <c r="AV242" s="95"/>
      <c r="AW242" s="95"/>
      <c r="AX242" s="95"/>
      <c r="AY242" s="94"/>
      <c r="AZ242" s="346"/>
      <c r="BA242" s="93"/>
      <c r="BB242" s="94"/>
      <c r="BC242" s="94"/>
      <c r="BD242" s="330"/>
      <c r="BE242" s="347"/>
      <c r="BF242" s="92"/>
      <c r="BG242" s="94"/>
      <c r="BH242" s="95"/>
      <c r="BI242" s="95"/>
      <c r="BJ242" s="95"/>
      <c r="BK242" s="94"/>
      <c r="BL242" s="346"/>
      <c r="BM242" s="93"/>
      <c r="BN242" s="94"/>
      <c r="BO242" s="94"/>
      <c r="BP242" s="330"/>
      <c r="BQ242" s="347"/>
      <c r="BR242" s="92"/>
      <c r="BS242" s="94"/>
      <c r="BT242" s="95"/>
      <c r="BU242" s="95"/>
      <c r="BV242" s="95"/>
      <c r="BW242" s="94"/>
      <c r="BX242" s="346"/>
      <c r="BY242" s="93"/>
      <c r="BZ242" s="94"/>
      <c r="CA242" s="94"/>
      <c r="CB242" s="330"/>
      <c r="CC242" s="347"/>
      <c r="CD242" s="92"/>
      <c r="CE242" s="94"/>
      <c r="CF242" s="95"/>
      <c r="CG242" s="95"/>
      <c r="CH242" s="95"/>
      <c r="CI242" s="94"/>
    </row>
    <row r="243" spans="1:87" x14ac:dyDescent="0.2">
      <c r="A243" s="8">
        <v>234</v>
      </c>
      <c r="B243" s="1125">
        <f>'Membership Record'!B244</f>
        <v>0</v>
      </c>
      <c r="C243" s="1125"/>
      <c r="D243" s="87">
        <f>'Membership Record'!G244+'Membership Record'!P244</f>
        <v>0</v>
      </c>
      <c r="E243" s="350">
        <f t="shared" si="25"/>
        <v>0</v>
      </c>
      <c r="F243" s="614">
        <f>'Membership Record'!H244+'Membership Record'!Q244</f>
        <v>0</v>
      </c>
      <c r="G243" s="615">
        <f t="shared" si="26"/>
        <v>0</v>
      </c>
      <c r="H243" s="614">
        <f>'Membership Record'!I244+'Membership Record'!R244</f>
        <v>0</v>
      </c>
      <c r="I243" s="616">
        <f t="shared" si="27"/>
        <v>0</v>
      </c>
      <c r="J243" s="614">
        <f>'Membership Record'!J244+'Membership Record'!S244</f>
        <v>0</v>
      </c>
      <c r="K243" s="618">
        <f t="shared" si="28"/>
        <v>0</v>
      </c>
      <c r="L243" s="618">
        <f>'Membership Record'!K244+'Membership Record'!T244</f>
        <v>0</v>
      </c>
      <c r="M243" s="615">
        <f t="shared" si="29"/>
        <v>0</v>
      </c>
      <c r="N243" s="614">
        <f>'Membership Record'!L244+'Membership Record'!U244</f>
        <v>0</v>
      </c>
      <c r="O243" s="619">
        <f t="shared" si="30"/>
        <v>0</v>
      </c>
      <c r="P243" s="346"/>
      <c r="Q243" s="93"/>
      <c r="R243" s="94"/>
      <c r="S243" s="94"/>
      <c r="T243" s="330"/>
      <c r="U243" s="347"/>
      <c r="V243" s="92"/>
      <c r="W243" s="94"/>
      <c r="X243" s="95"/>
      <c r="Y243" s="95"/>
      <c r="Z243" s="95"/>
      <c r="AA243" s="94"/>
      <c r="AB243" s="346"/>
      <c r="AC243" s="93"/>
      <c r="AD243" s="94"/>
      <c r="AE243" s="94"/>
      <c r="AF243" s="330"/>
      <c r="AG243" s="347"/>
      <c r="AH243" s="92"/>
      <c r="AI243" s="94"/>
      <c r="AJ243" s="95"/>
      <c r="AK243" s="95"/>
      <c r="AL243" s="95"/>
      <c r="AM243" s="94"/>
      <c r="AN243" s="346"/>
      <c r="AO243" s="93"/>
      <c r="AP243" s="94"/>
      <c r="AQ243" s="94"/>
      <c r="AR243" s="330"/>
      <c r="AS243" s="347"/>
      <c r="AT243" s="92"/>
      <c r="AU243" s="94"/>
      <c r="AV243" s="95"/>
      <c r="AW243" s="95"/>
      <c r="AX243" s="95"/>
      <c r="AY243" s="94"/>
      <c r="AZ243" s="346"/>
      <c r="BA243" s="93"/>
      <c r="BB243" s="94"/>
      <c r="BC243" s="94"/>
      <c r="BD243" s="330"/>
      <c r="BE243" s="347"/>
      <c r="BF243" s="92"/>
      <c r="BG243" s="94"/>
      <c r="BH243" s="95"/>
      <c r="BI243" s="95"/>
      <c r="BJ243" s="95"/>
      <c r="BK243" s="94"/>
      <c r="BL243" s="346"/>
      <c r="BM243" s="93"/>
      <c r="BN243" s="94"/>
      <c r="BO243" s="94"/>
      <c r="BP243" s="330"/>
      <c r="BQ243" s="347"/>
      <c r="BR243" s="92"/>
      <c r="BS243" s="94"/>
      <c r="BT243" s="95"/>
      <c r="BU243" s="95"/>
      <c r="BV243" s="95"/>
      <c r="BW243" s="94"/>
      <c r="BX243" s="346"/>
      <c r="BY243" s="93"/>
      <c r="BZ243" s="94"/>
      <c r="CA243" s="94"/>
      <c r="CB243" s="330"/>
      <c r="CC243" s="347"/>
      <c r="CD243" s="92"/>
      <c r="CE243" s="94"/>
      <c r="CF243" s="95"/>
      <c r="CG243" s="95"/>
      <c r="CH243" s="95"/>
      <c r="CI243" s="94"/>
    </row>
    <row r="244" spans="1:87" x14ac:dyDescent="0.2">
      <c r="A244" s="8">
        <v>235</v>
      </c>
      <c r="B244" s="1125">
        <f>'Membership Record'!B245</f>
        <v>0</v>
      </c>
      <c r="C244" s="1125"/>
      <c r="D244" s="87">
        <f>'Membership Record'!G245+'Membership Record'!P245</f>
        <v>0</v>
      </c>
      <c r="E244" s="350">
        <f t="shared" si="25"/>
        <v>0</v>
      </c>
      <c r="F244" s="614">
        <f>'Membership Record'!H245+'Membership Record'!Q245</f>
        <v>0</v>
      </c>
      <c r="G244" s="615">
        <f t="shared" si="26"/>
        <v>0</v>
      </c>
      <c r="H244" s="614">
        <f>'Membership Record'!I245+'Membership Record'!R245</f>
        <v>0</v>
      </c>
      <c r="I244" s="616">
        <f t="shared" si="27"/>
        <v>0</v>
      </c>
      <c r="J244" s="614">
        <f>'Membership Record'!J245+'Membership Record'!S245</f>
        <v>0</v>
      </c>
      <c r="K244" s="618">
        <f t="shared" si="28"/>
        <v>0</v>
      </c>
      <c r="L244" s="618">
        <f>'Membership Record'!K245+'Membership Record'!T245</f>
        <v>0</v>
      </c>
      <c r="M244" s="615">
        <f t="shared" si="29"/>
        <v>0</v>
      </c>
      <c r="N244" s="614">
        <f>'Membership Record'!L245+'Membership Record'!U245</f>
        <v>0</v>
      </c>
      <c r="O244" s="619">
        <f t="shared" si="30"/>
        <v>0</v>
      </c>
      <c r="P244" s="346"/>
      <c r="Q244" s="93"/>
      <c r="R244" s="94"/>
      <c r="S244" s="94"/>
      <c r="T244" s="330"/>
      <c r="U244" s="347"/>
      <c r="V244" s="92"/>
      <c r="W244" s="94"/>
      <c r="X244" s="95"/>
      <c r="Y244" s="95"/>
      <c r="Z244" s="95"/>
      <c r="AA244" s="94"/>
      <c r="AB244" s="346"/>
      <c r="AC244" s="93"/>
      <c r="AD244" s="94"/>
      <c r="AE244" s="94"/>
      <c r="AF244" s="330"/>
      <c r="AG244" s="347"/>
      <c r="AH244" s="92"/>
      <c r="AI244" s="94"/>
      <c r="AJ244" s="95"/>
      <c r="AK244" s="95"/>
      <c r="AL244" s="95"/>
      <c r="AM244" s="94"/>
      <c r="AN244" s="346"/>
      <c r="AO244" s="93"/>
      <c r="AP244" s="94"/>
      <c r="AQ244" s="94"/>
      <c r="AR244" s="330"/>
      <c r="AS244" s="347"/>
      <c r="AT244" s="92"/>
      <c r="AU244" s="94"/>
      <c r="AV244" s="95"/>
      <c r="AW244" s="95"/>
      <c r="AX244" s="95"/>
      <c r="AY244" s="94"/>
      <c r="AZ244" s="346"/>
      <c r="BA244" s="93"/>
      <c r="BB244" s="94"/>
      <c r="BC244" s="94"/>
      <c r="BD244" s="330"/>
      <c r="BE244" s="347"/>
      <c r="BF244" s="92"/>
      <c r="BG244" s="94"/>
      <c r="BH244" s="95"/>
      <c r="BI244" s="95"/>
      <c r="BJ244" s="95"/>
      <c r="BK244" s="94"/>
      <c r="BL244" s="346"/>
      <c r="BM244" s="93"/>
      <c r="BN244" s="94"/>
      <c r="BO244" s="94"/>
      <c r="BP244" s="330"/>
      <c r="BQ244" s="347"/>
      <c r="BR244" s="92"/>
      <c r="BS244" s="94"/>
      <c r="BT244" s="95"/>
      <c r="BU244" s="95"/>
      <c r="BV244" s="95"/>
      <c r="BW244" s="94"/>
      <c r="BX244" s="346"/>
      <c r="BY244" s="93"/>
      <c r="BZ244" s="94"/>
      <c r="CA244" s="94"/>
      <c r="CB244" s="330"/>
      <c r="CC244" s="347"/>
      <c r="CD244" s="92"/>
      <c r="CE244" s="94"/>
      <c r="CF244" s="95"/>
      <c r="CG244" s="95"/>
      <c r="CH244" s="95"/>
      <c r="CI244" s="94"/>
    </row>
    <row r="245" spans="1:87" x14ac:dyDescent="0.2">
      <c r="A245" s="8">
        <v>236</v>
      </c>
      <c r="B245" s="1125">
        <f>'Membership Record'!B246</f>
        <v>0</v>
      </c>
      <c r="C245" s="1125"/>
      <c r="D245" s="87">
        <f>'Membership Record'!G246+'Membership Record'!P246</f>
        <v>0</v>
      </c>
      <c r="E245" s="350">
        <f t="shared" si="25"/>
        <v>0</v>
      </c>
      <c r="F245" s="614">
        <f>'Membership Record'!H246+'Membership Record'!Q246</f>
        <v>0</v>
      </c>
      <c r="G245" s="615">
        <f t="shared" si="26"/>
        <v>0</v>
      </c>
      <c r="H245" s="614">
        <f>'Membership Record'!I246+'Membership Record'!R246</f>
        <v>0</v>
      </c>
      <c r="I245" s="616">
        <f t="shared" si="27"/>
        <v>0</v>
      </c>
      <c r="J245" s="614">
        <f>'Membership Record'!J246+'Membership Record'!S246</f>
        <v>0</v>
      </c>
      <c r="K245" s="618">
        <f t="shared" si="28"/>
        <v>0</v>
      </c>
      <c r="L245" s="618">
        <f>'Membership Record'!K246+'Membership Record'!T246</f>
        <v>0</v>
      </c>
      <c r="M245" s="615">
        <f t="shared" si="29"/>
        <v>0</v>
      </c>
      <c r="N245" s="614">
        <f>'Membership Record'!L246+'Membership Record'!U246</f>
        <v>0</v>
      </c>
      <c r="O245" s="619">
        <f t="shared" si="30"/>
        <v>0</v>
      </c>
      <c r="P245" s="346"/>
      <c r="Q245" s="93"/>
      <c r="R245" s="94"/>
      <c r="S245" s="94"/>
      <c r="T245" s="330"/>
      <c r="U245" s="347"/>
      <c r="V245" s="92"/>
      <c r="W245" s="94"/>
      <c r="X245" s="95"/>
      <c r="Y245" s="95"/>
      <c r="Z245" s="95"/>
      <c r="AA245" s="94"/>
      <c r="AB245" s="346"/>
      <c r="AC245" s="93"/>
      <c r="AD245" s="94"/>
      <c r="AE245" s="94"/>
      <c r="AF245" s="330"/>
      <c r="AG245" s="347"/>
      <c r="AH245" s="92"/>
      <c r="AI245" s="94"/>
      <c r="AJ245" s="95"/>
      <c r="AK245" s="95"/>
      <c r="AL245" s="95"/>
      <c r="AM245" s="94"/>
      <c r="AN245" s="346"/>
      <c r="AO245" s="93"/>
      <c r="AP245" s="94"/>
      <c r="AQ245" s="94"/>
      <c r="AR245" s="330"/>
      <c r="AS245" s="347"/>
      <c r="AT245" s="92"/>
      <c r="AU245" s="94"/>
      <c r="AV245" s="95"/>
      <c r="AW245" s="95"/>
      <c r="AX245" s="95"/>
      <c r="AY245" s="94"/>
      <c r="AZ245" s="346"/>
      <c r="BA245" s="93"/>
      <c r="BB245" s="94"/>
      <c r="BC245" s="94"/>
      <c r="BD245" s="330"/>
      <c r="BE245" s="347"/>
      <c r="BF245" s="92"/>
      <c r="BG245" s="94"/>
      <c r="BH245" s="95"/>
      <c r="BI245" s="95"/>
      <c r="BJ245" s="95"/>
      <c r="BK245" s="94"/>
      <c r="BL245" s="346"/>
      <c r="BM245" s="93"/>
      <c r="BN245" s="94"/>
      <c r="BO245" s="94"/>
      <c r="BP245" s="330"/>
      <c r="BQ245" s="347"/>
      <c r="BR245" s="92"/>
      <c r="BS245" s="94"/>
      <c r="BT245" s="95"/>
      <c r="BU245" s="95"/>
      <c r="BV245" s="95"/>
      <c r="BW245" s="94"/>
      <c r="BX245" s="346"/>
      <c r="BY245" s="93"/>
      <c r="BZ245" s="94"/>
      <c r="CA245" s="94"/>
      <c r="CB245" s="330"/>
      <c r="CC245" s="347"/>
      <c r="CD245" s="92"/>
      <c r="CE245" s="94"/>
      <c r="CF245" s="95"/>
      <c r="CG245" s="95"/>
      <c r="CH245" s="95"/>
      <c r="CI245" s="94"/>
    </row>
    <row r="246" spans="1:87" x14ac:dyDescent="0.2">
      <c r="A246" s="8">
        <v>237</v>
      </c>
      <c r="B246" s="1125">
        <f>'Membership Record'!B247</f>
        <v>0</v>
      </c>
      <c r="C246" s="1125"/>
      <c r="D246" s="87">
        <f>'Membership Record'!G247+'Membership Record'!P247</f>
        <v>0</v>
      </c>
      <c r="E246" s="350">
        <f t="shared" si="25"/>
        <v>0</v>
      </c>
      <c r="F246" s="614">
        <f>'Membership Record'!H247+'Membership Record'!Q247</f>
        <v>0</v>
      </c>
      <c r="G246" s="615">
        <f t="shared" si="26"/>
        <v>0</v>
      </c>
      <c r="H246" s="614">
        <f>'Membership Record'!I247+'Membership Record'!R247</f>
        <v>0</v>
      </c>
      <c r="I246" s="616">
        <f t="shared" si="27"/>
        <v>0</v>
      </c>
      <c r="J246" s="614">
        <f>'Membership Record'!J247+'Membership Record'!S247</f>
        <v>0</v>
      </c>
      <c r="K246" s="618">
        <f t="shared" si="28"/>
        <v>0</v>
      </c>
      <c r="L246" s="618">
        <f>'Membership Record'!K247+'Membership Record'!T247</f>
        <v>0</v>
      </c>
      <c r="M246" s="615">
        <f t="shared" si="29"/>
        <v>0</v>
      </c>
      <c r="N246" s="614">
        <f>'Membership Record'!L247+'Membership Record'!U247</f>
        <v>0</v>
      </c>
      <c r="O246" s="619">
        <f t="shared" si="30"/>
        <v>0</v>
      </c>
      <c r="P246" s="346"/>
      <c r="Q246" s="93"/>
      <c r="R246" s="94"/>
      <c r="S246" s="94"/>
      <c r="T246" s="330"/>
      <c r="U246" s="347"/>
      <c r="V246" s="92"/>
      <c r="W246" s="94"/>
      <c r="X246" s="95"/>
      <c r="Y246" s="95"/>
      <c r="Z246" s="95"/>
      <c r="AA246" s="94"/>
      <c r="AB246" s="346"/>
      <c r="AC246" s="93"/>
      <c r="AD246" s="94"/>
      <c r="AE246" s="94"/>
      <c r="AF246" s="330"/>
      <c r="AG246" s="347"/>
      <c r="AH246" s="92"/>
      <c r="AI246" s="94"/>
      <c r="AJ246" s="95"/>
      <c r="AK246" s="95"/>
      <c r="AL246" s="95"/>
      <c r="AM246" s="94"/>
      <c r="AN246" s="346"/>
      <c r="AO246" s="93"/>
      <c r="AP246" s="94"/>
      <c r="AQ246" s="94"/>
      <c r="AR246" s="330"/>
      <c r="AS246" s="347"/>
      <c r="AT246" s="92"/>
      <c r="AU246" s="94"/>
      <c r="AV246" s="95"/>
      <c r="AW246" s="95"/>
      <c r="AX246" s="95"/>
      <c r="AY246" s="94"/>
      <c r="AZ246" s="346"/>
      <c r="BA246" s="93"/>
      <c r="BB246" s="94"/>
      <c r="BC246" s="94"/>
      <c r="BD246" s="330"/>
      <c r="BE246" s="347"/>
      <c r="BF246" s="92"/>
      <c r="BG246" s="94"/>
      <c r="BH246" s="95"/>
      <c r="BI246" s="95"/>
      <c r="BJ246" s="95"/>
      <c r="BK246" s="94"/>
      <c r="BL246" s="346"/>
      <c r="BM246" s="93"/>
      <c r="BN246" s="94"/>
      <c r="BO246" s="94"/>
      <c r="BP246" s="330"/>
      <c r="BQ246" s="347"/>
      <c r="BR246" s="92"/>
      <c r="BS246" s="94"/>
      <c r="BT246" s="95"/>
      <c r="BU246" s="95"/>
      <c r="BV246" s="95"/>
      <c r="BW246" s="94"/>
      <c r="BX246" s="346"/>
      <c r="BY246" s="93"/>
      <c r="BZ246" s="94"/>
      <c r="CA246" s="94"/>
      <c r="CB246" s="330"/>
      <c r="CC246" s="347"/>
      <c r="CD246" s="92"/>
      <c r="CE246" s="94"/>
      <c r="CF246" s="95"/>
      <c r="CG246" s="95"/>
      <c r="CH246" s="95"/>
      <c r="CI246" s="94"/>
    </row>
    <row r="247" spans="1:87" x14ac:dyDescent="0.2">
      <c r="A247" s="8">
        <v>238</v>
      </c>
      <c r="B247" s="1125">
        <f>'Membership Record'!B248</f>
        <v>0</v>
      </c>
      <c r="C247" s="1125"/>
      <c r="D247" s="87">
        <f>'Membership Record'!G248+'Membership Record'!P248</f>
        <v>0</v>
      </c>
      <c r="E247" s="350">
        <f t="shared" si="25"/>
        <v>0</v>
      </c>
      <c r="F247" s="614">
        <f>'Membership Record'!H248+'Membership Record'!Q248</f>
        <v>0</v>
      </c>
      <c r="G247" s="615">
        <f t="shared" si="26"/>
        <v>0</v>
      </c>
      <c r="H247" s="614">
        <f>'Membership Record'!I248+'Membership Record'!R248</f>
        <v>0</v>
      </c>
      <c r="I247" s="616">
        <f t="shared" si="27"/>
        <v>0</v>
      </c>
      <c r="J247" s="614">
        <f>'Membership Record'!J248+'Membership Record'!S248</f>
        <v>0</v>
      </c>
      <c r="K247" s="618">
        <f t="shared" si="28"/>
        <v>0</v>
      </c>
      <c r="L247" s="618">
        <f>'Membership Record'!K248+'Membership Record'!T248</f>
        <v>0</v>
      </c>
      <c r="M247" s="615">
        <f t="shared" si="29"/>
        <v>0</v>
      </c>
      <c r="N247" s="614">
        <f>'Membership Record'!L248+'Membership Record'!U248</f>
        <v>0</v>
      </c>
      <c r="O247" s="619">
        <f t="shared" si="30"/>
        <v>0</v>
      </c>
      <c r="P247" s="346"/>
      <c r="Q247" s="93"/>
      <c r="R247" s="94"/>
      <c r="S247" s="94"/>
      <c r="T247" s="330"/>
      <c r="U247" s="347"/>
      <c r="V247" s="92"/>
      <c r="W247" s="94"/>
      <c r="X247" s="95"/>
      <c r="Y247" s="95"/>
      <c r="Z247" s="95"/>
      <c r="AA247" s="94"/>
      <c r="AB247" s="346"/>
      <c r="AC247" s="93"/>
      <c r="AD247" s="94"/>
      <c r="AE247" s="94"/>
      <c r="AF247" s="330"/>
      <c r="AG247" s="347"/>
      <c r="AH247" s="92"/>
      <c r="AI247" s="94"/>
      <c r="AJ247" s="95"/>
      <c r="AK247" s="95"/>
      <c r="AL247" s="95"/>
      <c r="AM247" s="94"/>
      <c r="AN247" s="346"/>
      <c r="AO247" s="93"/>
      <c r="AP247" s="94"/>
      <c r="AQ247" s="94"/>
      <c r="AR247" s="330"/>
      <c r="AS247" s="347"/>
      <c r="AT247" s="92"/>
      <c r="AU247" s="94"/>
      <c r="AV247" s="95"/>
      <c r="AW247" s="95"/>
      <c r="AX247" s="95"/>
      <c r="AY247" s="94"/>
      <c r="AZ247" s="346"/>
      <c r="BA247" s="93"/>
      <c r="BB247" s="94"/>
      <c r="BC247" s="94"/>
      <c r="BD247" s="330"/>
      <c r="BE247" s="347"/>
      <c r="BF247" s="92"/>
      <c r="BG247" s="94"/>
      <c r="BH247" s="95"/>
      <c r="BI247" s="95"/>
      <c r="BJ247" s="95"/>
      <c r="BK247" s="94"/>
      <c r="BL247" s="346"/>
      <c r="BM247" s="93"/>
      <c r="BN247" s="94"/>
      <c r="BO247" s="94"/>
      <c r="BP247" s="330"/>
      <c r="BQ247" s="347"/>
      <c r="BR247" s="92"/>
      <c r="BS247" s="94"/>
      <c r="BT247" s="95"/>
      <c r="BU247" s="95"/>
      <c r="BV247" s="95"/>
      <c r="BW247" s="94"/>
      <c r="BX247" s="346"/>
      <c r="BY247" s="93"/>
      <c r="BZ247" s="94"/>
      <c r="CA247" s="94"/>
      <c r="CB247" s="330"/>
      <c r="CC247" s="347"/>
      <c r="CD247" s="92"/>
      <c r="CE247" s="94"/>
      <c r="CF247" s="95"/>
      <c r="CG247" s="95"/>
      <c r="CH247" s="95"/>
      <c r="CI247" s="94"/>
    </row>
    <row r="248" spans="1:87" x14ac:dyDescent="0.2">
      <c r="A248" s="8">
        <v>239</v>
      </c>
      <c r="B248" s="1125">
        <f>'Membership Record'!B249</f>
        <v>0</v>
      </c>
      <c r="C248" s="1125"/>
      <c r="D248" s="87">
        <f>'Membership Record'!G249+'Membership Record'!P249</f>
        <v>0</v>
      </c>
      <c r="E248" s="350">
        <f t="shared" si="25"/>
        <v>0</v>
      </c>
      <c r="F248" s="614">
        <f>'Membership Record'!H249+'Membership Record'!Q249</f>
        <v>0</v>
      </c>
      <c r="G248" s="615">
        <f t="shared" si="26"/>
        <v>0</v>
      </c>
      <c r="H248" s="614">
        <f>'Membership Record'!I249+'Membership Record'!R249</f>
        <v>0</v>
      </c>
      <c r="I248" s="616">
        <f t="shared" si="27"/>
        <v>0</v>
      </c>
      <c r="J248" s="614">
        <f>'Membership Record'!J249+'Membership Record'!S249</f>
        <v>0</v>
      </c>
      <c r="K248" s="618">
        <f t="shared" si="28"/>
        <v>0</v>
      </c>
      <c r="L248" s="618">
        <f>'Membership Record'!K249+'Membership Record'!T249</f>
        <v>0</v>
      </c>
      <c r="M248" s="615">
        <f t="shared" si="29"/>
        <v>0</v>
      </c>
      <c r="N248" s="614">
        <f>'Membership Record'!L249+'Membership Record'!U249</f>
        <v>0</v>
      </c>
      <c r="O248" s="619">
        <f t="shared" si="30"/>
        <v>0</v>
      </c>
      <c r="P248" s="346"/>
      <c r="Q248" s="93"/>
      <c r="R248" s="94"/>
      <c r="S248" s="94"/>
      <c r="T248" s="330"/>
      <c r="U248" s="347"/>
      <c r="V248" s="92"/>
      <c r="W248" s="94"/>
      <c r="X248" s="95"/>
      <c r="Y248" s="95"/>
      <c r="Z248" s="95"/>
      <c r="AA248" s="94"/>
      <c r="AB248" s="346"/>
      <c r="AC248" s="93"/>
      <c r="AD248" s="94"/>
      <c r="AE248" s="94"/>
      <c r="AF248" s="330"/>
      <c r="AG248" s="347"/>
      <c r="AH248" s="92"/>
      <c r="AI248" s="94"/>
      <c r="AJ248" s="95"/>
      <c r="AK248" s="95"/>
      <c r="AL248" s="95"/>
      <c r="AM248" s="94"/>
      <c r="AN248" s="346"/>
      <c r="AO248" s="93"/>
      <c r="AP248" s="94"/>
      <c r="AQ248" s="94"/>
      <c r="AR248" s="330"/>
      <c r="AS248" s="347"/>
      <c r="AT248" s="92"/>
      <c r="AU248" s="94"/>
      <c r="AV248" s="95"/>
      <c r="AW248" s="95"/>
      <c r="AX248" s="95"/>
      <c r="AY248" s="94"/>
      <c r="AZ248" s="346"/>
      <c r="BA248" s="93"/>
      <c r="BB248" s="94"/>
      <c r="BC248" s="94"/>
      <c r="BD248" s="330"/>
      <c r="BE248" s="347"/>
      <c r="BF248" s="92"/>
      <c r="BG248" s="94"/>
      <c r="BH248" s="95"/>
      <c r="BI248" s="95"/>
      <c r="BJ248" s="95"/>
      <c r="BK248" s="94"/>
      <c r="BL248" s="346"/>
      <c r="BM248" s="93"/>
      <c r="BN248" s="94"/>
      <c r="BO248" s="94"/>
      <c r="BP248" s="330"/>
      <c r="BQ248" s="347"/>
      <c r="BR248" s="92"/>
      <c r="BS248" s="94"/>
      <c r="BT248" s="95"/>
      <c r="BU248" s="95"/>
      <c r="BV248" s="95"/>
      <c r="BW248" s="94"/>
      <c r="BX248" s="346"/>
      <c r="BY248" s="93"/>
      <c r="BZ248" s="94"/>
      <c r="CA248" s="94"/>
      <c r="CB248" s="330"/>
      <c r="CC248" s="347"/>
      <c r="CD248" s="92"/>
      <c r="CE248" s="94"/>
      <c r="CF248" s="95"/>
      <c r="CG248" s="95"/>
      <c r="CH248" s="95"/>
      <c r="CI248" s="94"/>
    </row>
    <row r="249" spans="1:87" x14ac:dyDescent="0.2">
      <c r="A249" s="8">
        <v>240</v>
      </c>
      <c r="B249" s="1125">
        <f>'Membership Record'!B250</f>
        <v>0</v>
      </c>
      <c r="C249" s="1125"/>
      <c r="D249" s="87">
        <f>'Membership Record'!G250+'Membership Record'!P250</f>
        <v>0</v>
      </c>
      <c r="E249" s="350">
        <f t="shared" si="25"/>
        <v>0</v>
      </c>
      <c r="F249" s="614">
        <f>'Membership Record'!H250+'Membership Record'!Q250</f>
        <v>0</v>
      </c>
      <c r="G249" s="615">
        <f t="shared" si="26"/>
        <v>0</v>
      </c>
      <c r="H249" s="614">
        <f>'Membership Record'!I250+'Membership Record'!R250</f>
        <v>0</v>
      </c>
      <c r="I249" s="616">
        <f t="shared" si="27"/>
        <v>0</v>
      </c>
      <c r="J249" s="614">
        <f>'Membership Record'!J250+'Membership Record'!S250</f>
        <v>0</v>
      </c>
      <c r="K249" s="618">
        <f t="shared" si="28"/>
        <v>0</v>
      </c>
      <c r="L249" s="618">
        <f>'Membership Record'!K250+'Membership Record'!T250</f>
        <v>0</v>
      </c>
      <c r="M249" s="615">
        <f t="shared" si="29"/>
        <v>0</v>
      </c>
      <c r="N249" s="614">
        <f>'Membership Record'!L250+'Membership Record'!U250</f>
        <v>0</v>
      </c>
      <c r="O249" s="619">
        <f t="shared" si="30"/>
        <v>0</v>
      </c>
      <c r="P249" s="346"/>
      <c r="Q249" s="93"/>
      <c r="R249" s="94"/>
      <c r="S249" s="94"/>
      <c r="T249" s="330"/>
      <c r="U249" s="347"/>
      <c r="V249" s="92"/>
      <c r="W249" s="94"/>
      <c r="X249" s="95"/>
      <c r="Y249" s="95"/>
      <c r="Z249" s="95"/>
      <c r="AA249" s="94"/>
      <c r="AB249" s="346"/>
      <c r="AC249" s="93"/>
      <c r="AD249" s="94"/>
      <c r="AE249" s="94"/>
      <c r="AF249" s="330"/>
      <c r="AG249" s="347"/>
      <c r="AH249" s="92"/>
      <c r="AI249" s="94"/>
      <c r="AJ249" s="95"/>
      <c r="AK249" s="95"/>
      <c r="AL249" s="95"/>
      <c r="AM249" s="94"/>
      <c r="AN249" s="346"/>
      <c r="AO249" s="93"/>
      <c r="AP249" s="94"/>
      <c r="AQ249" s="94"/>
      <c r="AR249" s="330"/>
      <c r="AS249" s="347"/>
      <c r="AT249" s="92"/>
      <c r="AU249" s="94"/>
      <c r="AV249" s="95"/>
      <c r="AW249" s="95"/>
      <c r="AX249" s="95"/>
      <c r="AY249" s="94"/>
      <c r="AZ249" s="346"/>
      <c r="BA249" s="93"/>
      <c r="BB249" s="94"/>
      <c r="BC249" s="94"/>
      <c r="BD249" s="330"/>
      <c r="BE249" s="347"/>
      <c r="BF249" s="92"/>
      <c r="BG249" s="94"/>
      <c r="BH249" s="95"/>
      <c r="BI249" s="95"/>
      <c r="BJ249" s="95"/>
      <c r="BK249" s="94"/>
      <c r="BL249" s="346"/>
      <c r="BM249" s="93"/>
      <c r="BN249" s="94"/>
      <c r="BO249" s="94"/>
      <c r="BP249" s="330"/>
      <c r="BQ249" s="347"/>
      <c r="BR249" s="92"/>
      <c r="BS249" s="94"/>
      <c r="BT249" s="95"/>
      <c r="BU249" s="95"/>
      <c r="BV249" s="95"/>
      <c r="BW249" s="94"/>
      <c r="BX249" s="346"/>
      <c r="BY249" s="93"/>
      <c r="BZ249" s="94"/>
      <c r="CA249" s="94"/>
      <c r="CB249" s="330"/>
      <c r="CC249" s="347"/>
      <c r="CD249" s="92"/>
      <c r="CE249" s="94"/>
      <c r="CF249" s="95"/>
      <c r="CG249" s="95"/>
      <c r="CH249" s="95"/>
      <c r="CI249" s="94"/>
    </row>
    <row r="250" spans="1:87" x14ac:dyDescent="0.2">
      <c r="A250" s="8">
        <v>241</v>
      </c>
      <c r="B250" s="1125">
        <f>'Membership Record'!B251</f>
        <v>0</v>
      </c>
      <c r="C250" s="1125"/>
      <c r="D250" s="87">
        <f>'Membership Record'!G251+'Membership Record'!P251</f>
        <v>0</v>
      </c>
      <c r="E250" s="350">
        <f t="shared" si="25"/>
        <v>0</v>
      </c>
      <c r="F250" s="614">
        <f>'Membership Record'!H251+'Membership Record'!Q251</f>
        <v>0</v>
      </c>
      <c r="G250" s="615">
        <f t="shared" si="26"/>
        <v>0</v>
      </c>
      <c r="H250" s="614">
        <f>'Membership Record'!I251+'Membership Record'!R251</f>
        <v>0</v>
      </c>
      <c r="I250" s="616">
        <f t="shared" si="27"/>
        <v>0</v>
      </c>
      <c r="J250" s="614">
        <f>'Membership Record'!J251+'Membership Record'!S251</f>
        <v>0</v>
      </c>
      <c r="K250" s="618">
        <f t="shared" si="28"/>
        <v>0</v>
      </c>
      <c r="L250" s="618">
        <f>'Membership Record'!K251+'Membership Record'!T251</f>
        <v>0</v>
      </c>
      <c r="M250" s="615">
        <f t="shared" si="29"/>
        <v>0</v>
      </c>
      <c r="N250" s="614">
        <f>'Membership Record'!L251+'Membership Record'!U251</f>
        <v>0</v>
      </c>
      <c r="O250" s="619">
        <f t="shared" si="30"/>
        <v>0</v>
      </c>
      <c r="P250" s="346"/>
      <c r="Q250" s="93"/>
      <c r="R250" s="94"/>
      <c r="S250" s="94"/>
      <c r="T250" s="330"/>
      <c r="U250" s="347"/>
      <c r="V250" s="92"/>
      <c r="W250" s="94"/>
      <c r="X250" s="95"/>
      <c r="Y250" s="95"/>
      <c r="Z250" s="95"/>
      <c r="AA250" s="94"/>
      <c r="AB250" s="346"/>
      <c r="AC250" s="93"/>
      <c r="AD250" s="94"/>
      <c r="AE250" s="94"/>
      <c r="AF250" s="330"/>
      <c r="AG250" s="347"/>
      <c r="AH250" s="92"/>
      <c r="AI250" s="94"/>
      <c r="AJ250" s="95"/>
      <c r="AK250" s="95"/>
      <c r="AL250" s="95"/>
      <c r="AM250" s="94"/>
      <c r="AN250" s="346"/>
      <c r="AO250" s="93"/>
      <c r="AP250" s="94"/>
      <c r="AQ250" s="94"/>
      <c r="AR250" s="330"/>
      <c r="AS250" s="347"/>
      <c r="AT250" s="92"/>
      <c r="AU250" s="94"/>
      <c r="AV250" s="95"/>
      <c r="AW250" s="95"/>
      <c r="AX250" s="95"/>
      <c r="AY250" s="94"/>
      <c r="AZ250" s="346"/>
      <c r="BA250" s="93"/>
      <c r="BB250" s="94"/>
      <c r="BC250" s="94"/>
      <c r="BD250" s="330"/>
      <c r="BE250" s="347"/>
      <c r="BF250" s="92"/>
      <c r="BG250" s="94"/>
      <c r="BH250" s="95"/>
      <c r="BI250" s="95"/>
      <c r="BJ250" s="95"/>
      <c r="BK250" s="94"/>
      <c r="BL250" s="346"/>
      <c r="BM250" s="93"/>
      <c r="BN250" s="94"/>
      <c r="BO250" s="94"/>
      <c r="BP250" s="330"/>
      <c r="BQ250" s="347"/>
      <c r="BR250" s="92"/>
      <c r="BS250" s="94"/>
      <c r="BT250" s="95"/>
      <c r="BU250" s="95"/>
      <c r="BV250" s="95"/>
      <c r="BW250" s="94"/>
      <c r="BX250" s="346"/>
      <c r="BY250" s="93"/>
      <c r="BZ250" s="94"/>
      <c r="CA250" s="94"/>
      <c r="CB250" s="330"/>
      <c r="CC250" s="347"/>
      <c r="CD250" s="92"/>
      <c r="CE250" s="94"/>
      <c r="CF250" s="95"/>
      <c r="CG250" s="95"/>
      <c r="CH250" s="95"/>
      <c r="CI250" s="94"/>
    </row>
    <row r="251" spans="1:87" x14ac:dyDescent="0.2">
      <c r="A251" s="8">
        <v>242</v>
      </c>
      <c r="B251" s="1125">
        <f>'Membership Record'!B252</f>
        <v>0</v>
      </c>
      <c r="C251" s="1125"/>
      <c r="D251" s="87">
        <f>'Membership Record'!G252+'Membership Record'!P252</f>
        <v>0</v>
      </c>
      <c r="E251" s="350">
        <f t="shared" si="25"/>
        <v>0</v>
      </c>
      <c r="F251" s="614">
        <f>'Membership Record'!H252+'Membership Record'!Q252</f>
        <v>0</v>
      </c>
      <c r="G251" s="615">
        <f t="shared" si="26"/>
        <v>0</v>
      </c>
      <c r="H251" s="614">
        <f>'Membership Record'!I252+'Membership Record'!R252</f>
        <v>0</v>
      </c>
      <c r="I251" s="616">
        <f t="shared" si="27"/>
        <v>0</v>
      </c>
      <c r="J251" s="614">
        <f>'Membership Record'!J252+'Membership Record'!S252</f>
        <v>0</v>
      </c>
      <c r="K251" s="618">
        <f t="shared" si="28"/>
        <v>0</v>
      </c>
      <c r="L251" s="618">
        <f>'Membership Record'!K252+'Membership Record'!T252</f>
        <v>0</v>
      </c>
      <c r="M251" s="615">
        <f t="shared" si="29"/>
        <v>0</v>
      </c>
      <c r="N251" s="614">
        <f>'Membership Record'!L252+'Membership Record'!U252</f>
        <v>0</v>
      </c>
      <c r="O251" s="619">
        <f t="shared" si="30"/>
        <v>0</v>
      </c>
      <c r="P251" s="346"/>
      <c r="Q251" s="93"/>
      <c r="R251" s="94"/>
      <c r="S251" s="94"/>
      <c r="T251" s="330"/>
      <c r="U251" s="347"/>
      <c r="V251" s="92"/>
      <c r="W251" s="94"/>
      <c r="X251" s="95"/>
      <c r="Y251" s="95"/>
      <c r="Z251" s="95"/>
      <c r="AA251" s="94"/>
      <c r="AB251" s="346"/>
      <c r="AC251" s="93"/>
      <c r="AD251" s="94"/>
      <c r="AE251" s="94"/>
      <c r="AF251" s="330"/>
      <c r="AG251" s="347"/>
      <c r="AH251" s="92"/>
      <c r="AI251" s="94"/>
      <c r="AJ251" s="95"/>
      <c r="AK251" s="95"/>
      <c r="AL251" s="95"/>
      <c r="AM251" s="94"/>
      <c r="AN251" s="346"/>
      <c r="AO251" s="93"/>
      <c r="AP251" s="94"/>
      <c r="AQ251" s="94"/>
      <c r="AR251" s="330"/>
      <c r="AS251" s="347"/>
      <c r="AT251" s="92"/>
      <c r="AU251" s="94"/>
      <c r="AV251" s="95"/>
      <c r="AW251" s="95"/>
      <c r="AX251" s="95"/>
      <c r="AY251" s="94"/>
      <c r="AZ251" s="346"/>
      <c r="BA251" s="93"/>
      <c r="BB251" s="94"/>
      <c r="BC251" s="94"/>
      <c r="BD251" s="330"/>
      <c r="BE251" s="347"/>
      <c r="BF251" s="92"/>
      <c r="BG251" s="94"/>
      <c r="BH251" s="95"/>
      <c r="BI251" s="95"/>
      <c r="BJ251" s="95"/>
      <c r="BK251" s="94"/>
      <c r="BL251" s="346"/>
      <c r="BM251" s="93"/>
      <c r="BN251" s="94"/>
      <c r="BO251" s="94"/>
      <c r="BP251" s="330"/>
      <c r="BQ251" s="347"/>
      <c r="BR251" s="92"/>
      <c r="BS251" s="94"/>
      <c r="BT251" s="95"/>
      <c r="BU251" s="95"/>
      <c r="BV251" s="95"/>
      <c r="BW251" s="94"/>
      <c r="BX251" s="346"/>
      <c r="BY251" s="93"/>
      <c r="BZ251" s="94"/>
      <c r="CA251" s="94"/>
      <c r="CB251" s="330"/>
      <c r="CC251" s="347"/>
      <c r="CD251" s="92"/>
      <c r="CE251" s="94"/>
      <c r="CF251" s="95"/>
      <c r="CG251" s="95"/>
      <c r="CH251" s="95"/>
      <c r="CI251" s="94"/>
    </row>
    <row r="252" spans="1:87" x14ac:dyDescent="0.2">
      <c r="A252" s="8">
        <v>243</v>
      </c>
      <c r="B252" s="1125">
        <f>'Membership Record'!B253</f>
        <v>0</v>
      </c>
      <c r="C252" s="1125"/>
      <c r="D252" s="87">
        <f>'Membership Record'!G253+'Membership Record'!P253</f>
        <v>0</v>
      </c>
      <c r="E252" s="350">
        <f t="shared" si="25"/>
        <v>0</v>
      </c>
      <c r="F252" s="614">
        <f>'Membership Record'!H253+'Membership Record'!Q253</f>
        <v>0</v>
      </c>
      <c r="G252" s="615">
        <f t="shared" si="26"/>
        <v>0</v>
      </c>
      <c r="H252" s="614">
        <f>'Membership Record'!I253+'Membership Record'!R253</f>
        <v>0</v>
      </c>
      <c r="I252" s="616">
        <f t="shared" si="27"/>
        <v>0</v>
      </c>
      <c r="J252" s="614">
        <f>'Membership Record'!J253+'Membership Record'!S253</f>
        <v>0</v>
      </c>
      <c r="K252" s="618">
        <f t="shared" si="28"/>
        <v>0</v>
      </c>
      <c r="L252" s="618">
        <f>'Membership Record'!K253+'Membership Record'!T253</f>
        <v>0</v>
      </c>
      <c r="M252" s="615">
        <f t="shared" si="29"/>
        <v>0</v>
      </c>
      <c r="N252" s="614">
        <f>'Membership Record'!L253+'Membership Record'!U253</f>
        <v>0</v>
      </c>
      <c r="O252" s="619">
        <f t="shared" si="30"/>
        <v>0</v>
      </c>
      <c r="P252" s="346"/>
      <c r="Q252" s="93"/>
      <c r="R252" s="94"/>
      <c r="S252" s="94"/>
      <c r="T252" s="330"/>
      <c r="U252" s="347"/>
      <c r="V252" s="92"/>
      <c r="W252" s="94"/>
      <c r="X252" s="95"/>
      <c r="Y252" s="95"/>
      <c r="Z252" s="95"/>
      <c r="AA252" s="94"/>
      <c r="AB252" s="346"/>
      <c r="AC252" s="93"/>
      <c r="AD252" s="94"/>
      <c r="AE252" s="94"/>
      <c r="AF252" s="330"/>
      <c r="AG252" s="347"/>
      <c r="AH252" s="92"/>
      <c r="AI252" s="94"/>
      <c r="AJ252" s="95"/>
      <c r="AK252" s="95"/>
      <c r="AL252" s="95"/>
      <c r="AM252" s="94"/>
      <c r="AN252" s="346"/>
      <c r="AO252" s="93"/>
      <c r="AP252" s="94"/>
      <c r="AQ252" s="94"/>
      <c r="AR252" s="330"/>
      <c r="AS252" s="347"/>
      <c r="AT252" s="92"/>
      <c r="AU252" s="94"/>
      <c r="AV252" s="95"/>
      <c r="AW252" s="95"/>
      <c r="AX252" s="95"/>
      <c r="AY252" s="94"/>
      <c r="AZ252" s="346"/>
      <c r="BA252" s="93"/>
      <c r="BB252" s="94"/>
      <c r="BC252" s="94"/>
      <c r="BD252" s="330"/>
      <c r="BE252" s="347"/>
      <c r="BF252" s="92"/>
      <c r="BG252" s="94"/>
      <c r="BH252" s="95"/>
      <c r="BI252" s="95"/>
      <c r="BJ252" s="95"/>
      <c r="BK252" s="94"/>
      <c r="BL252" s="346"/>
      <c r="BM252" s="93"/>
      <c r="BN252" s="94"/>
      <c r="BO252" s="94"/>
      <c r="BP252" s="330"/>
      <c r="BQ252" s="347"/>
      <c r="BR252" s="92"/>
      <c r="BS252" s="94"/>
      <c r="BT252" s="95"/>
      <c r="BU252" s="95"/>
      <c r="BV252" s="95"/>
      <c r="BW252" s="94"/>
      <c r="BX252" s="346"/>
      <c r="BY252" s="93"/>
      <c r="BZ252" s="94"/>
      <c r="CA252" s="94"/>
      <c r="CB252" s="330"/>
      <c r="CC252" s="347"/>
      <c r="CD252" s="92"/>
      <c r="CE252" s="94"/>
      <c r="CF252" s="95"/>
      <c r="CG252" s="95"/>
      <c r="CH252" s="95"/>
      <c r="CI252" s="94"/>
    </row>
    <row r="253" spans="1:87" x14ac:dyDescent="0.2">
      <c r="A253" s="8">
        <v>244</v>
      </c>
      <c r="B253" s="1125">
        <f>'Membership Record'!B254</f>
        <v>0</v>
      </c>
      <c r="C253" s="1125"/>
      <c r="D253" s="87">
        <f>'Membership Record'!G254+'Membership Record'!P254</f>
        <v>0</v>
      </c>
      <c r="E253" s="350">
        <f t="shared" si="25"/>
        <v>0</v>
      </c>
      <c r="F253" s="614">
        <f>'Membership Record'!H254+'Membership Record'!Q254</f>
        <v>0</v>
      </c>
      <c r="G253" s="615">
        <f t="shared" si="26"/>
        <v>0</v>
      </c>
      <c r="H253" s="614">
        <f>'Membership Record'!I254+'Membership Record'!R254</f>
        <v>0</v>
      </c>
      <c r="I253" s="616">
        <f t="shared" si="27"/>
        <v>0</v>
      </c>
      <c r="J253" s="614">
        <f>'Membership Record'!J254+'Membership Record'!S254</f>
        <v>0</v>
      </c>
      <c r="K253" s="618">
        <f t="shared" si="28"/>
        <v>0</v>
      </c>
      <c r="L253" s="618">
        <f>'Membership Record'!K254+'Membership Record'!T254</f>
        <v>0</v>
      </c>
      <c r="M253" s="615">
        <f t="shared" si="29"/>
        <v>0</v>
      </c>
      <c r="N253" s="614">
        <f>'Membership Record'!L254+'Membership Record'!U254</f>
        <v>0</v>
      </c>
      <c r="O253" s="619">
        <f t="shared" si="30"/>
        <v>0</v>
      </c>
      <c r="P253" s="346"/>
      <c r="Q253" s="93"/>
      <c r="R253" s="94"/>
      <c r="S253" s="94"/>
      <c r="T253" s="330"/>
      <c r="U253" s="347"/>
      <c r="V253" s="92"/>
      <c r="W253" s="94"/>
      <c r="X253" s="95"/>
      <c r="Y253" s="95"/>
      <c r="Z253" s="95"/>
      <c r="AA253" s="94"/>
      <c r="AB253" s="346"/>
      <c r="AC253" s="93"/>
      <c r="AD253" s="94"/>
      <c r="AE253" s="94"/>
      <c r="AF253" s="330"/>
      <c r="AG253" s="347"/>
      <c r="AH253" s="92"/>
      <c r="AI253" s="94"/>
      <c r="AJ253" s="95"/>
      <c r="AK253" s="95"/>
      <c r="AL253" s="95"/>
      <c r="AM253" s="94"/>
      <c r="AN253" s="346"/>
      <c r="AO253" s="93"/>
      <c r="AP253" s="94"/>
      <c r="AQ253" s="94"/>
      <c r="AR253" s="330"/>
      <c r="AS253" s="347"/>
      <c r="AT253" s="92"/>
      <c r="AU253" s="94"/>
      <c r="AV253" s="95"/>
      <c r="AW253" s="95"/>
      <c r="AX253" s="95"/>
      <c r="AY253" s="94"/>
      <c r="AZ253" s="346"/>
      <c r="BA253" s="93"/>
      <c r="BB253" s="94"/>
      <c r="BC253" s="94"/>
      <c r="BD253" s="330"/>
      <c r="BE253" s="347"/>
      <c r="BF253" s="92"/>
      <c r="BG253" s="94"/>
      <c r="BH253" s="95"/>
      <c r="BI253" s="95"/>
      <c r="BJ253" s="95"/>
      <c r="BK253" s="94"/>
      <c r="BL253" s="346"/>
      <c r="BM253" s="93"/>
      <c r="BN253" s="94"/>
      <c r="BO253" s="94"/>
      <c r="BP253" s="330"/>
      <c r="BQ253" s="347"/>
      <c r="BR253" s="92"/>
      <c r="BS253" s="94"/>
      <c r="BT253" s="95"/>
      <c r="BU253" s="95"/>
      <c r="BV253" s="95"/>
      <c r="BW253" s="94"/>
      <c r="BX253" s="346"/>
      <c r="BY253" s="93"/>
      <c r="BZ253" s="94"/>
      <c r="CA253" s="94"/>
      <c r="CB253" s="330"/>
      <c r="CC253" s="347"/>
      <c r="CD253" s="92"/>
      <c r="CE253" s="94"/>
      <c r="CF253" s="95"/>
      <c r="CG253" s="95"/>
      <c r="CH253" s="95"/>
      <c r="CI253" s="94"/>
    </row>
    <row r="254" spans="1:87" x14ac:dyDescent="0.2">
      <c r="A254" s="8">
        <v>245</v>
      </c>
      <c r="B254" s="1125">
        <f>'Membership Record'!B255</f>
        <v>0</v>
      </c>
      <c r="C254" s="1125"/>
      <c r="D254" s="87">
        <f>'Membership Record'!G255+'Membership Record'!P255</f>
        <v>0</v>
      </c>
      <c r="E254" s="350">
        <f t="shared" si="25"/>
        <v>0</v>
      </c>
      <c r="F254" s="614">
        <f>'Membership Record'!H255+'Membership Record'!Q255</f>
        <v>0</v>
      </c>
      <c r="G254" s="615">
        <f t="shared" si="26"/>
        <v>0</v>
      </c>
      <c r="H254" s="614">
        <f>'Membership Record'!I255+'Membership Record'!R255</f>
        <v>0</v>
      </c>
      <c r="I254" s="616">
        <f t="shared" si="27"/>
        <v>0</v>
      </c>
      <c r="J254" s="614">
        <f>'Membership Record'!J255+'Membership Record'!S255</f>
        <v>0</v>
      </c>
      <c r="K254" s="618">
        <f t="shared" si="28"/>
        <v>0</v>
      </c>
      <c r="L254" s="618">
        <f>'Membership Record'!K255+'Membership Record'!T255</f>
        <v>0</v>
      </c>
      <c r="M254" s="615">
        <f t="shared" si="29"/>
        <v>0</v>
      </c>
      <c r="N254" s="614">
        <f>'Membership Record'!L255+'Membership Record'!U255</f>
        <v>0</v>
      </c>
      <c r="O254" s="619">
        <f t="shared" si="30"/>
        <v>0</v>
      </c>
      <c r="P254" s="346"/>
      <c r="Q254" s="93"/>
      <c r="R254" s="94"/>
      <c r="S254" s="94"/>
      <c r="T254" s="330"/>
      <c r="U254" s="347"/>
      <c r="V254" s="92"/>
      <c r="W254" s="94"/>
      <c r="X254" s="95"/>
      <c r="Y254" s="95"/>
      <c r="Z254" s="95"/>
      <c r="AA254" s="94"/>
      <c r="AB254" s="346"/>
      <c r="AC254" s="93"/>
      <c r="AD254" s="94"/>
      <c r="AE254" s="94"/>
      <c r="AF254" s="330"/>
      <c r="AG254" s="347"/>
      <c r="AH254" s="92"/>
      <c r="AI254" s="94"/>
      <c r="AJ254" s="95"/>
      <c r="AK254" s="95"/>
      <c r="AL254" s="95"/>
      <c r="AM254" s="94"/>
      <c r="AN254" s="346"/>
      <c r="AO254" s="93"/>
      <c r="AP254" s="94"/>
      <c r="AQ254" s="94"/>
      <c r="AR254" s="330"/>
      <c r="AS254" s="347"/>
      <c r="AT254" s="92"/>
      <c r="AU254" s="94"/>
      <c r="AV254" s="95"/>
      <c r="AW254" s="95"/>
      <c r="AX254" s="95"/>
      <c r="AY254" s="94"/>
      <c r="AZ254" s="346"/>
      <c r="BA254" s="93"/>
      <c r="BB254" s="94"/>
      <c r="BC254" s="94"/>
      <c r="BD254" s="330"/>
      <c r="BE254" s="347"/>
      <c r="BF254" s="92"/>
      <c r="BG254" s="94"/>
      <c r="BH254" s="95"/>
      <c r="BI254" s="95"/>
      <c r="BJ254" s="95"/>
      <c r="BK254" s="94"/>
      <c r="BL254" s="346"/>
      <c r="BM254" s="93"/>
      <c r="BN254" s="94"/>
      <c r="BO254" s="94"/>
      <c r="BP254" s="330"/>
      <c r="BQ254" s="347"/>
      <c r="BR254" s="92"/>
      <c r="BS254" s="94"/>
      <c r="BT254" s="95"/>
      <c r="BU254" s="95"/>
      <c r="BV254" s="95"/>
      <c r="BW254" s="94"/>
      <c r="BX254" s="346"/>
      <c r="BY254" s="93"/>
      <c r="BZ254" s="94"/>
      <c r="CA254" s="94"/>
      <c r="CB254" s="330"/>
      <c r="CC254" s="347"/>
      <c r="CD254" s="92"/>
      <c r="CE254" s="94"/>
      <c r="CF254" s="95"/>
      <c r="CG254" s="95"/>
      <c r="CH254" s="95"/>
      <c r="CI254" s="94"/>
    </row>
    <row r="255" spans="1:87" x14ac:dyDescent="0.2">
      <c r="A255" s="8">
        <v>246</v>
      </c>
      <c r="B255" s="1125">
        <f>'Membership Record'!B256</f>
        <v>0</v>
      </c>
      <c r="C255" s="1125"/>
      <c r="D255" s="87">
        <f>'Membership Record'!G256+'Membership Record'!P256</f>
        <v>0</v>
      </c>
      <c r="E255" s="350">
        <f t="shared" si="25"/>
        <v>0</v>
      </c>
      <c r="F255" s="614">
        <f>'Membership Record'!H256+'Membership Record'!Q256</f>
        <v>0</v>
      </c>
      <c r="G255" s="615">
        <f t="shared" si="26"/>
        <v>0</v>
      </c>
      <c r="H255" s="614">
        <f>'Membership Record'!I256+'Membership Record'!R256</f>
        <v>0</v>
      </c>
      <c r="I255" s="616">
        <f t="shared" si="27"/>
        <v>0</v>
      </c>
      <c r="J255" s="614">
        <f>'Membership Record'!J256+'Membership Record'!S256</f>
        <v>0</v>
      </c>
      <c r="K255" s="618">
        <f t="shared" si="28"/>
        <v>0</v>
      </c>
      <c r="L255" s="618">
        <f>'Membership Record'!K256+'Membership Record'!T256</f>
        <v>0</v>
      </c>
      <c r="M255" s="615">
        <f t="shared" si="29"/>
        <v>0</v>
      </c>
      <c r="N255" s="614">
        <f>'Membership Record'!L256+'Membership Record'!U256</f>
        <v>0</v>
      </c>
      <c r="O255" s="619">
        <f t="shared" si="30"/>
        <v>0</v>
      </c>
      <c r="P255" s="346"/>
      <c r="Q255" s="93"/>
      <c r="R255" s="94"/>
      <c r="S255" s="94"/>
      <c r="T255" s="330"/>
      <c r="U255" s="347"/>
      <c r="V255" s="92"/>
      <c r="W255" s="94"/>
      <c r="X255" s="95"/>
      <c r="Y255" s="95"/>
      <c r="Z255" s="95"/>
      <c r="AA255" s="94"/>
      <c r="AB255" s="346"/>
      <c r="AC255" s="93"/>
      <c r="AD255" s="94"/>
      <c r="AE255" s="94"/>
      <c r="AF255" s="330"/>
      <c r="AG255" s="347"/>
      <c r="AH255" s="92"/>
      <c r="AI255" s="94"/>
      <c r="AJ255" s="95"/>
      <c r="AK255" s="95"/>
      <c r="AL255" s="95"/>
      <c r="AM255" s="94"/>
      <c r="AN255" s="346"/>
      <c r="AO255" s="93"/>
      <c r="AP255" s="94"/>
      <c r="AQ255" s="94"/>
      <c r="AR255" s="330"/>
      <c r="AS255" s="347"/>
      <c r="AT255" s="92"/>
      <c r="AU255" s="94"/>
      <c r="AV255" s="95"/>
      <c r="AW255" s="95"/>
      <c r="AX255" s="95"/>
      <c r="AY255" s="94"/>
      <c r="AZ255" s="346"/>
      <c r="BA255" s="93"/>
      <c r="BB255" s="94"/>
      <c r="BC255" s="94"/>
      <c r="BD255" s="330"/>
      <c r="BE255" s="347"/>
      <c r="BF255" s="92"/>
      <c r="BG255" s="94"/>
      <c r="BH255" s="95"/>
      <c r="BI255" s="95"/>
      <c r="BJ255" s="95"/>
      <c r="BK255" s="94"/>
      <c r="BL255" s="346"/>
      <c r="BM255" s="93"/>
      <c r="BN255" s="94"/>
      <c r="BO255" s="94"/>
      <c r="BP255" s="330"/>
      <c r="BQ255" s="347"/>
      <c r="BR255" s="92"/>
      <c r="BS255" s="94"/>
      <c r="BT255" s="95"/>
      <c r="BU255" s="95"/>
      <c r="BV255" s="95"/>
      <c r="BW255" s="94"/>
      <c r="BX255" s="346"/>
      <c r="BY255" s="93"/>
      <c r="BZ255" s="94"/>
      <c r="CA255" s="94"/>
      <c r="CB255" s="330"/>
      <c r="CC255" s="347"/>
      <c r="CD255" s="92"/>
      <c r="CE255" s="94"/>
      <c r="CF255" s="95"/>
      <c r="CG255" s="95"/>
      <c r="CH255" s="95"/>
      <c r="CI255" s="94"/>
    </row>
    <row r="256" spans="1:87" x14ac:dyDescent="0.2">
      <c r="A256" s="8">
        <v>247</v>
      </c>
      <c r="B256" s="1125">
        <f>'Membership Record'!B257</f>
        <v>0</v>
      </c>
      <c r="C256" s="1125"/>
      <c r="D256" s="87">
        <f>'Membership Record'!G257+'Membership Record'!P257</f>
        <v>0</v>
      </c>
      <c r="E256" s="350">
        <f t="shared" si="25"/>
        <v>0</v>
      </c>
      <c r="F256" s="614">
        <f>'Membership Record'!H257+'Membership Record'!Q257</f>
        <v>0</v>
      </c>
      <c r="G256" s="615">
        <f t="shared" si="26"/>
        <v>0</v>
      </c>
      <c r="H256" s="614">
        <f>'Membership Record'!I257+'Membership Record'!R257</f>
        <v>0</v>
      </c>
      <c r="I256" s="616">
        <f t="shared" si="27"/>
        <v>0</v>
      </c>
      <c r="J256" s="614">
        <f>'Membership Record'!J257+'Membership Record'!S257</f>
        <v>0</v>
      </c>
      <c r="K256" s="618">
        <f t="shared" si="28"/>
        <v>0</v>
      </c>
      <c r="L256" s="618">
        <f>'Membership Record'!K257+'Membership Record'!T257</f>
        <v>0</v>
      </c>
      <c r="M256" s="615">
        <f t="shared" si="29"/>
        <v>0</v>
      </c>
      <c r="N256" s="614">
        <f>'Membership Record'!L257+'Membership Record'!U257</f>
        <v>0</v>
      </c>
      <c r="O256" s="619">
        <f t="shared" si="30"/>
        <v>0</v>
      </c>
      <c r="P256" s="346"/>
      <c r="Q256" s="93"/>
      <c r="R256" s="94"/>
      <c r="S256" s="94"/>
      <c r="T256" s="330"/>
      <c r="U256" s="347"/>
      <c r="V256" s="92"/>
      <c r="W256" s="94"/>
      <c r="X256" s="95"/>
      <c r="Y256" s="95"/>
      <c r="Z256" s="95"/>
      <c r="AA256" s="94"/>
      <c r="AB256" s="346"/>
      <c r="AC256" s="93"/>
      <c r="AD256" s="94"/>
      <c r="AE256" s="94"/>
      <c r="AF256" s="330"/>
      <c r="AG256" s="347"/>
      <c r="AH256" s="92"/>
      <c r="AI256" s="94"/>
      <c r="AJ256" s="95"/>
      <c r="AK256" s="95"/>
      <c r="AL256" s="95"/>
      <c r="AM256" s="94"/>
      <c r="AN256" s="346"/>
      <c r="AO256" s="93"/>
      <c r="AP256" s="94"/>
      <c r="AQ256" s="94"/>
      <c r="AR256" s="330"/>
      <c r="AS256" s="347"/>
      <c r="AT256" s="92"/>
      <c r="AU256" s="94"/>
      <c r="AV256" s="95"/>
      <c r="AW256" s="95"/>
      <c r="AX256" s="95"/>
      <c r="AY256" s="94"/>
      <c r="AZ256" s="346"/>
      <c r="BA256" s="93"/>
      <c r="BB256" s="94"/>
      <c r="BC256" s="94"/>
      <c r="BD256" s="330"/>
      <c r="BE256" s="347"/>
      <c r="BF256" s="92"/>
      <c r="BG256" s="94"/>
      <c r="BH256" s="95"/>
      <c r="BI256" s="95"/>
      <c r="BJ256" s="95"/>
      <c r="BK256" s="94"/>
      <c r="BL256" s="346"/>
      <c r="BM256" s="93"/>
      <c r="BN256" s="94"/>
      <c r="BO256" s="94"/>
      <c r="BP256" s="330"/>
      <c r="BQ256" s="347"/>
      <c r="BR256" s="92"/>
      <c r="BS256" s="94"/>
      <c r="BT256" s="95"/>
      <c r="BU256" s="95"/>
      <c r="BV256" s="95"/>
      <c r="BW256" s="94"/>
      <c r="BX256" s="346"/>
      <c r="BY256" s="93"/>
      <c r="BZ256" s="94"/>
      <c r="CA256" s="94"/>
      <c r="CB256" s="330"/>
      <c r="CC256" s="347"/>
      <c r="CD256" s="92"/>
      <c r="CE256" s="94"/>
      <c r="CF256" s="95"/>
      <c r="CG256" s="95"/>
      <c r="CH256" s="95"/>
      <c r="CI256" s="94"/>
    </row>
    <row r="257" spans="1:87" x14ac:dyDescent="0.2">
      <c r="A257" s="8">
        <v>248</v>
      </c>
      <c r="B257" s="1125">
        <f>'Membership Record'!B258</f>
        <v>0</v>
      </c>
      <c r="C257" s="1125"/>
      <c r="D257" s="87">
        <f>'Membership Record'!G258+'Membership Record'!P258</f>
        <v>0</v>
      </c>
      <c r="E257" s="350">
        <f t="shared" si="25"/>
        <v>0</v>
      </c>
      <c r="F257" s="614">
        <f>'Membership Record'!H258+'Membership Record'!Q258</f>
        <v>0</v>
      </c>
      <c r="G257" s="615">
        <f t="shared" si="26"/>
        <v>0</v>
      </c>
      <c r="H257" s="614">
        <f>'Membership Record'!I258+'Membership Record'!R258</f>
        <v>0</v>
      </c>
      <c r="I257" s="616">
        <f t="shared" si="27"/>
        <v>0</v>
      </c>
      <c r="J257" s="614">
        <f>'Membership Record'!J258+'Membership Record'!S258</f>
        <v>0</v>
      </c>
      <c r="K257" s="618">
        <f t="shared" si="28"/>
        <v>0</v>
      </c>
      <c r="L257" s="618">
        <f>'Membership Record'!K258+'Membership Record'!T258</f>
        <v>0</v>
      </c>
      <c r="M257" s="615">
        <f t="shared" si="29"/>
        <v>0</v>
      </c>
      <c r="N257" s="614">
        <f>'Membership Record'!L258+'Membership Record'!U258</f>
        <v>0</v>
      </c>
      <c r="O257" s="619">
        <f t="shared" si="30"/>
        <v>0</v>
      </c>
      <c r="P257" s="346"/>
      <c r="Q257" s="93"/>
      <c r="R257" s="94"/>
      <c r="S257" s="94"/>
      <c r="T257" s="330"/>
      <c r="U257" s="347"/>
      <c r="V257" s="92"/>
      <c r="W257" s="94"/>
      <c r="X257" s="95"/>
      <c r="Y257" s="95"/>
      <c r="Z257" s="95"/>
      <c r="AA257" s="94"/>
      <c r="AB257" s="346"/>
      <c r="AC257" s="93"/>
      <c r="AD257" s="94"/>
      <c r="AE257" s="94"/>
      <c r="AF257" s="330"/>
      <c r="AG257" s="347"/>
      <c r="AH257" s="92"/>
      <c r="AI257" s="94"/>
      <c r="AJ257" s="95"/>
      <c r="AK257" s="95"/>
      <c r="AL257" s="95"/>
      <c r="AM257" s="94"/>
      <c r="AN257" s="346"/>
      <c r="AO257" s="93"/>
      <c r="AP257" s="94"/>
      <c r="AQ257" s="94"/>
      <c r="AR257" s="330"/>
      <c r="AS257" s="347"/>
      <c r="AT257" s="92"/>
      <c r="AU257" s="94"/>
      <c r="AV257" s="95"/>
      <c r="AW257" s="95"/>
      <c r="AX257" s="95"/>
      <c r="AY257" s="94"/>
      <c r="AZ257" s="346"/>
      <c r="BA257" s="93"/>
      <c r="BB257" s="94"/>
      <c r="BC257" s="94"/>
      <c r="BD257" s="330"/>
      <c r="BE257" s="347"/>
      <c r="BF257" s="92"/>
      <c r="BG257" s="94"/>
      <c r="BH257" s="95"/>
      <c r="BI257" s="95"/>
      <c r="BJ257" s="95"/>
      <c r="BK257" s="94"/>
      <c r="BL257" s="346"/>
      <c r="BM257" s="93"/>
      <c r="BN257" s="94"/>
      <c r="BO257" s="94"/>
      <c r="BP257" s="330"/>
      <c r="BQ257" s="347"/>
      <c r="BR257" s="92"/>
      <c r="BS257" s="94"/>
      <c r="BT257" s="95"/>
      <c r="BU257" s="95"/>
      <c r="BV257" s="95"/>
      <c r="BW257" s="94"/>
      <c r="BX257" s="346"/>
      <c r="BY257" s="93"/>
      <c r="BZ257" s="94"/>
      <c r="CA257" s="94"/>
      <c r="CB257" s="330"/>
      <c r="CC257" s="347"/>
      <c r="CD257" s="92"/>
      <c r="CE257" s="94"/>
      <c r="CF257" s="95"/>
      <c r="CG257" s="95"/>
      <c r="CH257" s="95"/>
      <c r="CI257" s="94"/>
    </row>
    <row r="258" spans="1:87" x14ac:dyDescent="0.2">
      <c r="A258" s="8">
        <v>249</v>
      </c>
      <c r="B258" s="1125">
        <f>'Membership Record'!B259</f>
        <v>0</v>
      </c>
      <c r="C258" s="1125"/>
      <c r="D258" s="87">
        <f>'Membership Record'!G259+'Membership Record'!P259</f>
        <v>0</v>
      </c>
      <c r="E258" s="350">
        <f t="shared" si="25"/>
        <v>0</v>
      </c>
      <c r="F258" s="614">
        <f>'Membership Record'!H259+'Membership Record'!Q259</f>
        <v>0</v>
      </c>
      <c r="G258" s="615">
        <f t="shared" si="26"/>
        <v>0</v>
      </c>
      <c r="H258" s="614">
        <f>'Membership Record'!I259+'Membership Record'!R259</f>
        <v>0</v>
      </c>
      <c r="I258" s="616">
        <f t="shared" si="27"/>
        <v>0</v>
      </c>
      <c r="J258" s="614">
        <f>'Membership Record'!J259+'Membership Record'!S259</f>
        <v>0</v>
      </c>
      <c r="K258" s="618">
        <f t="shared" si="28"/>
        <v>0</v>
      </c>
      <c r="L258" s="618">
        <f>'Membership Record'!K259+'Membership Record'!T259</f>
        <v>0</v>
      </c>
      <c r="M258" s="615">
        <f t="shared" si="29"/>
        <v>0</v>
      </c>
      <c r="N258" s="614">
        <f>'Membership Record'!L259+'Membership Record'!U259</f>
        <v>0</v>
      </c>
      <c r="O258" s="619">
        <f t="shared" si="30"/>
        <v>0</v>
      </c>
      <c r="P258" s="346"/>
      <c r="Q258" s="93"/>
      <c r="R258" s="94"/>
      <c r="S258" s="94"/>
      <c r="T258" s="330"/>
      <c r="U258" s="347"/>
      <c r="V258" s="92"/>
      <c r="W258" s="94"/>
      <c r="X258" s="95"/>
      <c r="Y258" s="95"/>
      <c r="Z258" s="95"/>
      <c r="AA258" s="94"/>
      <c r="AB258" s="346"/>
      <c r="AC258" s="93"/>
      <c r="AD258" s="94"/>
      <c r="AE258" s="94"/>
      <c r="AF258" s="330"/>
      <c r="AG258" s="347"/>
      <c r="AH258" s="92"/>
      <c r="AI258" s="94"/>
      <c r="AJ258" s="95"/>
      <c r="AK258" s="95"/>
      <c r="AL258" s="95"/>
      <c r="AM258" s="94"/>
      <c r="AN258" s="346"/>
      <c r="AO258" s="93"/>
      <c r="AP258" s="94"/>
      <c r="AQ258" s="94"/>
      <c r="AR258" s="330"/>
      <c r="AS258" s="347"/>
      <c r="AT258" s="92"/>
      <c r="AU258" s="94"/>
      <c r="AV258" s="95"/>
      <c r="AW258" s="95"/>
      <c r="AX258" s="95"/>
      <c r="AY258" s="94"/>
      <c r="AZ258" s="346"/>
      <c r="BA258" s="93"/>
      <c r="BB258" s="94"/>
      <c r="BC258" s="94"/>
      <c r="BD258" s="330"/>
      <c r="BE258" s="347"/>
      <c r="BF258" s="92"/>
      <c r="BG258" s="94"/>
      <c r="BH258" s="95"/>
      <c r="BI258" s="95"/>
      <c r="BJ258" s="95"/>
      <c r="BK258" s="94"/>
      <c r="BL258" s="346"/>
      <c r="BM258" s="93"/>
      <c r="BN258" s="94"/>
      <c r="BO258" s="94"/>
      <c r="BP258" s="330"/>
      <c r="BQ258" s="347"/>
      <c r="BR258" s="92"/>
      <c r="BS258" s="94"/>
      <c r="BT258" s="95"/>
      <c r="BU258" s="95"/>
      <c r="BV258" s="95"/>
      <c r="BW258" s="94"/>
      <c r="BX258" s="346"/>
      <c r="BY258" s="93"/>
      <c r="BZ258" s="94"/>
      <c r="CA258" s="94"/>
      <c r="CB258" s="330"/>
      <c r="CC258" s="347"/>
      <c r="CD258" s="92"/>
      <c r="CE258" s="94"/>
      <c r="CF258" s="95"/>
      <c r="CG258" s="95"/>
      <c r="CH258" s="95"/>
      <c r="CI258" s="94"/>
    </row>
    <row r="259" spans="1:87" x14ac:dyDescent="0.2">
      <c r="A259" s="8">
        <v>250</v>
      </c>
      <c r="B259" s="1125">
        <f>'Membership Record'!B260</f>
        <v>0</v>
      </c>
      <c r="C259" s="1125"/>
      <c r="D259" s="87">
        <f>'Membership Record'!G260+'Membership Record'!P260</f>
        <v>0</v>
      </c>
      <c r="E259" s="350">
        <f t="shared" si="25"/>
        <v>0</v>
      </c>
      <c r="F259" s="614">
        <f>'Membership Record'!H260+'Membership Record'!Q260</f>
        <v>0</v>
      </c>
      <c r="G259" s="615">
        <f t="shared" si="26"/>
        <v>0</v>
      </c>
      <c r="H259" s="614">
        <f>'Membership Record'!I260+'Membership Record'!R260</f>
        <v>0</v>
      </c>
      <c r="I259" s="616">
        <f t="shared" si="27"/>
        <v>0</v>
      </c>
      <c r="J259" s="614">
        <f>'Membership Record'!J260+'Membership Record'!S260</f>
        <v>0</v>
      </c>
      <c r="K259" s="618">
        <f t="shared" si="28"/>
        <v>0</v>
      </c>
      <c r="L259" s="618">
        <f>'Membership Record'!K260+'Membership Record'!T260</f>
        <v>0</v>
      </c>
      <c r="M259" s="615">
        <f t="shared" si="29"/>
        <v>0</v>
      </c>
      <c r="N259" s="614">
        <f>'Membership Record'!L260+'Membership Record'!U260</f>
        <v>0</v>
      </c>
      <c r="O259" s="619">
        <f t="shared" si="30"/>
        <v>0</v>
      </c>
      <c r="P259" s="346"/>
      <c r="Q259" s="93"/>
      <c r="R259" s="94"/>
      <c r="S259" s="94"/>
      <c r="T259" s="330"/>
      <c r="U259" s="347"/>
      <c r="V259" s="92"/>
      <c r="W259" s="94"/>
      <c r="X259" s="95"/>
      <c r="Y259" s="95"/>
      <c r="Z259" s="95"/>
      <c r="AA259" s="94"/>
      <c r="AB259" s="346"/>
      <c r="AC259" s="93"/>
      <c r="AD259" s="94"/>
      <c r="AE259" s="94"/>
      <c r="AF259" s="330"/>
      <c r="AG259" s="347"/>
      <c r="AH259" s="92"/>
      <c r="AI259" s="94"/>
      <c r="AJ259" s="95"/>
      <c r="AK259" s="95"/>
      <c r="AL259" s="95"/>
      <c r="AM259" s="94"/>
      <c r="AN259" s="346"/>
      <c r="AO259" s="93"/>
      <c r="AP259" s="94"/>
      <c r="AQ259" s="94"/>
      <c r="AR259" s="330"/>
      <c r="AS259" s="347"/>
      <c r="AT259" s="92"/>
      <c r="AU259" s="94"/>
      <c r="AV259" s="95"/>
      <c r="AW259" s="95"/>
      <c r="AX259" s="95"/>
      <c r="AY259" s="94"/>
      <c r="AZ259" s="346"/>
      <c r="BA259" s="93"/>
      <c r="BB259" s="94"/>
      <c r="BC259" s="94"/>
      <c r="BD259" s="330"/>
      <c r="BE259" s="347"/>
      <c r="BF259" s="92"/>
      <c r="BG259" s="94"/>
      <c r="BH259" s="95"/>
      <c r="BI259" s="95"/>
      <c r="BJ259" s="95"/>
      <c r="BK259" s="94"/>
      <c r="BL259" s="346"/>
      <c r="BM259" s="93"/>
      <c r="BN259" s="94"/>
      <c r="BO259" s="94"/>
      <c r="BP259" s="330"/>
      <c r="BQ259" s="347"/>
      <c r="BR259" s="92"/>
      <c r="BS259" s="94"/>
      <c r="BT259" s="95"/>
      <c r="BU259" s="95"/>
      <c r="BV259" s="95"/>
      <c r="BW259" s="94"/>
      <c r="BX259" s="346"/>
      <c r="BY259" s="93"/>
      <c r="BZ259" s="94"/>
      <c r="CA259" s="94"/>
      <c r="CB259" s="330"/>
      <c r="CC259" s="347"/>
      <c r="CD259" s="92"/>
      <c r="CE259" s="94"/>
      <c r="CF259" s="95"/>
      <c r="CG259" s="95"/>
      <c r="CH259" s="95"/>
      <c r="CI259" s="94"/>
    </row>
    <row r="260" spans="1:87" x14ac:dyDescent="0.2">
      <c r="A260" s="8">
        <v>251</v>
      </c>
      <c r="B260" s="1125">
        <f>'Membership Record'!B261</f>
        <v>0</v>
      </c>
      <c r="C260" s="1125"/>
      <c r="D260" s="87">
        <f>'Membership Record'!G261+'Membership Record'!P261</f>
        <v>0</v>
      </c>
      <c r="E260" s="350">
        <f t="shared" si="25"/>
        <v>0</v>
      </c>
      <c r="F260" s="614">
        <f>'Membership Record'!H261+'Membership Record'!Q261</f>
        <v>0</v>
      </c>
      <c r="G260" s="615">
        <f t="shared" si="26"/>
        <v>0</v>
      </c>
      <c r="H260" s="614">
        <f>'Membership Record'!I261+'Membership Record'!R261</f>
        <v>0</v>
      </c>
      <c r="I260" s="616">
        <f t="shared" si="27"/>
        <v>0</v>
      </c>
      <c r="J260" s="614">
        <f>'Membership Record'!J261+'Membership Record'!S261</f>
        <v>0</v>
      </c>
      <c r="K260" s="618">
        <f t="shared" si="28"/>
        <v>0</v>
      </c>
      <c r="L260" s="618">
        <f>'Membership Record'!K261+'Membership Record'!T261</f>
        <v>0</v>
      </c>
      <c r="M260" s="615">
        <f t="shared" si="29"/>
        <v>0</v>
      </c>
      <c r="N260" s="614">
        <f>'Membership Record'!L261+'Membership Record'!U261</f>
        <v>0</v>
      </c>
      <c r="O260" s="619">
        <f t="shared" si="30"/>
        <v>0</v>
      </c>
      <c r="P260" s="346"/>
      <c r="Q260" s="93"/>
      <c r="R260" s="94"/>
      <c r="S260" s="94"/>
      <c r="T260" s="330"/>
      <c r="U260" s="347"/>
      <c r="V260" s="92"/>
      <c r="W260" s="94"/>
      <c r="X260" s="95"/>
      <c r="Y260" s="95"/>
      <c r="Z260" s="95"/>
      <c r="AA260" s="94"/>
      <c r="AB260" s="346"/>
      <c r="AC260" s="93"/>
      <c r="AD260" s="94"/>
      <c r="AE260" s="94"/>
      <c r="AF260" s="330"/>
      <c r="AG260" s="347"/>
      <c r="AH260" s="92"/>
      <c r="AI260" s="94"/>
      <c r="AJ260" s="95"/>
      <c r="AK260" s="95"/>
      <c r="AL260" s="95"/>
      <c r="AM260" s="94"/>
      <c r="AN260" s="346"/>
      <c r="AO260" s="93"/>
      <c r="AP260" s="94"/>
      <c r="AQ260" s="94"/>
      <c r="AR260" s="330"/>
      <c r="AS260" s="347"/>
      <c r="AT260" s="92"/>
      <c r="AU260" s="94"/>
      <c r="AV260" s="95"/>
      <c r="AW260" s="95"/>
      <c r="AX260" s="95"/>
      <c r="AY260" s="94"/>
      <c r="AZ260" s="346"/>
      <c r="BA260" s="93"/>
      <c r="BB260" s="94"/>
      <c r="BC260" s="94"/>
      <c r="BD260" s="330"/>
      <c r="BE260" s="347"/>
      <c r="BF260" s="92"/>
      <c r="BG260" s="94"/>
      <c r="BH260" s="95"/>
      <c r="BI260" s="95"/>
      <c r="BJ260" s="95"/>
      <c r="BK260" s="94"/>
      <c r="BL260" s="346"/>
      <c r="BM260" s="93"/>
      <c r="BN260" s="94"/>
      <c r="BO260" s="94"/>
      <c r="BP260" s="330"/>
      <c r="BQ260" s="347"/>
      <c r="BR260" s="92"/>
      <c r="BS260" s="94"/>
      <c r="BT260" s="95"/>
      <c r="BU260" s="95"/>
      <c r="BV260" s="95"/>
      <c r="BW260" s="94"/>
      <c r="BX260" s="346"/>
      <c r="BY260" s="93"/>
      <c r="BZ260" s="94"/>
      <c r="CA260" s="94"/>
      <c r="CB260" s="330"/>
      <c r="CC260" s="347"/>
      <c r="CD260" s="92"/>
      <c r="CE260" s="94"/>
      <c r="CF260" s="95"/>
      <c r="CG260" s="95"/>
      <c r="CH260" s="95"/>
      <c r="CI260" s="94"/>
    </row>
    <row r="261" spans="1:87" x14ac:dyDescent="0.2">
      <c r="A261" s="8">
        <v>252</v>
      </c>
      <c r="B261" s="1125">
        <f>'Membership Record'!B262</f>
        <v>0</v>
      </c>
      <c r="C261" s="1125"/>
      <c r="D261" s="87">
        <f>'Membership Record'!G262+'Membership Record'!P262</f>
        <v>0</v>
      </c>
      <c r="E261" s="350">
        <f t="shared" si="25"/>
        <v>0</v>
      </c>
      <c r="F261" s="614">
        <f>'Membership Record'!H262+'Membership Record'!Q262</f>
        <v>0</v>
      </c>
      <c r="G261" s="615">
        <f t="shared" si="26"/>
        <v>0</v>
      </c>
      <c r="H261" s="614">
        <f>'Membership Record'!I262+'Membership Record'!R262</f>
        <v>0</v>
      </c>
      <c r="I261" s="616">
        <f t="shared" si="27"/>
        <v>0</v>
      </c>
      <c r="J261" s="614">
        <f>'Membership Record'!J262+'Membership Record'!S262</f>
        <v>0</v>
      </c>
      <c r="K261" s="618">
        <f t="shared" si="28"/>
        <v>0</v>
      </c>
      <c r="L261" s="618">
        <f>'Membership Record'!K262+'Membership Record'!T262</f>
        <v>0</v>
      </c>
      <c r="M261" s="615">
        <f t="shared" si="29"/>
        <v>0</v>
      </c>
      <c r="N261" s="614">
        <f>'Membership Record'!L262+'Membership Record'!U262</f>
        <v>0</v>
      </c>
      <c r="O261" s="619">
        <f t="shared" si="30"/>
        <v>0</v>
      </c>
      <c r="P261" s="346"/>
      <c r="Q261" s="93"/>
      <c r="R261" s="94"/>
      <c r="S261" s="94"/>
      <c r="T261" s="330"/>
      <c r="U261" s="347"/>
      <c r="V261" s="92"/>
      <c r="W261" s="94"/>
      <c r="X261" s="95"/>
      <c r="Y261" s="95"/>
      <c r="Z261" s="95"/>
      <c r="AA261" s="94"/>
      <c r="AB261" s="346"/>
      <c r="AC261" s="93"/>
      <c r="AD261" s="94"/>
      <c r="AE261" s="94"/>
      <c r="AF261" s="330"/>
      <c r="AG261" s="347"/>
      <c r="AH261" s="92"/>
      <c r="AI261" s="94"/>
      <c r="AJ261" s="95"/>
      <c r="AK261" s="95"/>
      <c r="AL261" s="95"/>
      <c r="AM261" s="94"/>
      <c r="AN261" s="346"/>
      <c r="AO261" s="93"/>
      <c r="AP261" s="94"/>
      <c r="AQ261" s="94"/>
      <c r="AR261" s="330"/>
      <c r="AS261" s="347"/>
      <c r="AT261" s="92"/>
      <c r="AU261" s="94"/>
      <c r="AV261" s="95"/>
      <c r="AW261" s="95"/>
      <c r="AX261" s="95"/>
      <c r="AY261" s="94"/>
      <c r="AZ261" s="346"/>
      <c r="BA261" s="93"/>
      <c r="BB261" s="94"/>
      <c r="BC261" s="94"/>
      <c r="BD261" s="330"/>
      <c r="BE261" s="347"/>
      <c r="BF261" s="92"/>
      <c r="BG261" s="94"/>
      <c r="BH261" s="95"/>
      <c r="BI261" s="95"/>
      <c r="BJ261" s="95"/>
      <c r="BK261" s="94"/>
      <c r="BL261" s="346"/>
      <c r="BM261" s="93"/>
      <c r="BN261" s="94"/>
      <c r="BO261" s="94"/>
      <c r="BP261" s="330"/>
      <c r="BQ261" s="347"/>
      <c r="BR261" s="92"/>
      <c r="BS261" s="94"/>
      <c r="BT261" s="95"/>
      <c r="BU261" s="95"/>
      <c r="BV261" s="95"/>
      <c r="BW261" s="94"/>
      <c r="BX261" s="346"/>
      <c r="BY261" s="93"/>
      <c r="BZ261" s="94"/>
      <c r="CA261" s="94"/>
      <c r="CB261" s="330"/>
      <c r="CC261" s="347"/>
      <c r="CD261" s="92"/>
      <c r="CE261" s="94"/>
      <c r="CF261" s="95"/>
      <c r="CG261" s="95"/>
      <c r="CH261" s="95"/>
      <c r="CI261" s="94"/>
    </row>
    <row r="262" spans="1:87" x14ac:dyDescent="0.2">
      <c r="A262" s="8">
        <v>253</v>
      </c>
      <c r="B262" s="1125">
        <f>'Membership Record'!B263</f>
        <v>0</v>
      </c>
      <c r="C262" s="1125"/>
      <c r="D262" s="87">
        <f>'Membership Record'!G263+'Membership Record'!P263</f>
        <v>0</v>
      </c>
      <c r="E262" s="350">
        <f t="shared" si="25"/>
        <v>0</v>
      </c>
      <c r="F262" s="614">
        <f>'Membership Record'!H263+'Membership Record'!Q263</f>
        <v>0</v>
      </c>
      <c r="G262" s="615">
        <f t="shared" si="26"/>
        <v>0</v>
      </c>
      <c r="H262" s="614">
        <f>'Membership Record'!I263+'Membership Record'!R263</f>
        <v>0</v>
      </c>
      <c r="I262" s="616">
        <f t="shared" si="27"/>
        <v>0</v>
      </c>
      <c r="J262" s="614">
        <f>'Membership Record'!J263+'Membership Record'!S263</f>
        <v>0</v>
      </c>
      <c r="K262" s="618">
        <f t="shared" si="28"/>
        <v>0</v>
      </c>
      <c r="L262" s="618">
        <f>'Membership Record'!K263+'Membership Record'!T263</f>
        <v>0</v>
      </c>
      <c r="M262" s="615">
        <f t="shared" si="29"/>
        <v>0</v>
      </c>
      <c r="N262" s="614">
        <f>'Membership Record'!L263+'Membership Record'!U263</f>
        <v>0</v>
      </c>
      <c r="O262" s="619">
        <f t="shared" si="30"/>
        <v>0</v>
      </c>
      <c r="P262" s="346"/>
      <c r="Q262" s="93"/>
      <c r="R262" s="94"/>
      <c r="S262" s="94"/>
      <c r="T262" s="330"/>
      <c r="U262" s="347"/>
      <c r="V262" s="92"/>
      <c r="W262" s="94"/>
      <c r="X262" s="95"/>
      <c r="Y262" s="95"/>
      <c r="Z262" s="95"/>
      <c r="AA262" s="94"/>
      <c r="AB262" s="346"/>
      <c r="AC262" s="93"/>
      <c r="AD262" s="94"/>
      <c r="AE262" s="94"/>
      <c r="AF262" s="330"/>
      <c r="AG262" s="347"/>
      <c r="AH262" s="92"/>
      <c r="AI262" s="94"/>
      <c r="AJ262" s="95"/>
      <c r="AK262" s="95"/>
      <c r="AL262" s="95"/>
      <c r="AM262" s="94"/>
      <c r="AN262" s="346"/>
      <c r="AO262" s="93"/>
      <c r="AP262" s="94"/>
      <c r="AQ262" s="94"/>
      <c r="AR262" s="330"/>
      <c r="AS262" s="347"/>
      <c r="AT262" s="92"/>
      <c r="AU262" s="94"/>
      <c r="AV262" s="95"/>
      <c r="AW262" s="95"/>
      <c r="AX262" s="95"/>
      <c r="AY262" s="94"/>
      <c r="AZ262" s="346"/>
      <c r="BA262" s="93"/>
      <c r="BB262" s="94"/>
      <c r="BC262" s="94"/>
      <c r="BD262" s="330"/>
      <c r="BE262" s="347"/>
      <c r="BF262" s="92"/>
      <c r="BG262" s="94"/>
      <c r="BH262" s="95"/>
      <c r="BI262" s="95"/>
      <c r="BJ262" s="95"/>
      <c r="BK262" s="94"/>
      <c r="BL262" s="346"/>
      <c r="BM262" s="93"/>
      <c r="BN262" s="94"/>
      <c r="BO262" s="94"/>
      <c r="BP262" s="330"/>
      <c r="BQ262" s="347"/>
      <c r="BR262" s="92"/>
      <c r="BS262" s="94"/>
      <c r="BT262" s="95"/>
      <c r="BU262" s="95"/>
      <c r="BV262" s="95"/>
      <c r="BW262" s="94"/>
      <c r="BX262" s="346"/>
      <c r="BY262" s="93"/>
      <c r="BZ262" s="94"/>
      <c r="CA262" s="94"/>
      <c r="CB262" s="330"/>
      <c r="CC262" s="347"/>
      <c r="CD262" s="92"/>
      <c r="CE262" s="94"/>
      <c r="CF262" s="95"/>
      <c r="CG262" s="95"/>
      <c r="CH262" s="95"/>
      <c r="CI262" s="94"/>
    </row>
    <row r="263" spans="1:87" x14ac:dyDescent="0.2">
      <c r="A263" s="8">
        <v>254</v>
      </c>
      <c r="B263" s="1125">
        <f>'Membership Record'!B264</f>
        <v>0</v>
      </c>
      <c r="C263" s="1125"/>
      <c r="D263" s="87">
        <f>'Membership Record'!G264+'Membership Record'!P264</f>
        <v>0</v>
      </c>
      <c r="E263" s="350">
        <f t="shared" si="25"/>
        <v>0</v>
      </c>
      <c r="F263" s="614">
        <f>'Membership Record'!H264+'Membership Record'!Q264</f>
        <v>0</v>
      </c>
      <c r="G263" s="615">
        <f t="shared" si="26"/>
        <v>0</v>
      </c>
      <c r="H263" s="614">
        <f>'Membership Record'!I264+'Membership Record'!R264</f>
        <v>0</v>
      </c>
      <c r="I263" s="616">
        <f t="shared" si="27"/>
        <v>0</v>
      </c>
      <c r="J263" s="614">
        <f>'Membership Record'!J264+'Membership Record'!S264</f>
        <v>0</v>
      </c>
      <c r="K263" s="618">
        <f t="shared" si="28"/>
        <v>0</v>
      </c>
      <c r="L263" s="618">
        <f>'Membership Record'!K264+'Membership Record'!T264</f>
        <v>0</v>
      </c>
      <c r="M263" s="615">
        <f t="shared" si="29"/>
        <v>0</v>
      </c>
      <c r="N263" s="614">
        <f>'Membership Record'!L264+'Membership Record'!U264</f>
        <v>0</v>
      </c>
      <c r="O263" s="619">
        <f t="shared" si="30"/>
        <v>0</v>
      </c>
      <c r="P263" s="346"/>
      <c r="Q263" s="93"/>
      <c r="R263" s="94"/>
      <c r="S263" s="94"/>
      <c r="T263" s="330"/>
      <c r="U263" s="347"/>
      <c r="V263" s="92"/>
      <c r="W263" s="94"/>
      <c r="X263" s="95"/>
      <c r="Y263" s="95"/>
      <c r="Z263" s="95"/>
      <c r="AA263" s="94"/>
      <c r="AB263" s="346"/>
      <c r="AC263" s="93"/>
      <c r="AD263" s="94"/>
      <c r="AE263" s="94"/>
      <c r="AF263" s="330"/>
      <c r="AG263" s="347"/>
      <c r="AH263" s="92"/>
      <c r="AI263" s="94"/>
      <c r="AJ263" s="95"/>
      <c r="AK263" s="95"/>
      <c r="AL263" s="95"/>
      <c r="AM263" s="94"/>
      <c r="AN263" s="346"/>
      <c r="AO263" s="93"/>
      <c r="AP263" s="94"/>
      <c r="AQ263" s="94"/>
      <c r="AR263" s="330"/>
      <c r="AS263" s="347"/>
      <c r="AT263" s="92"/>
      <c r="AU263" s="94"/>
      <c r="AV263" s="95"/>
      <c r="AW263" s="95"/>
      <c r="AX263" s="95"/>
      <c r="AY263" s="94"/>
      <c r="AZ263" s="346"/>
      <c r="BA263" s="93"/>
      <c r="BB263" s="94"/>
      <c r="BC263" s="94"/>
      <c r="BD263" s="330"/>
      <c r="BE263" s="347"/>
      <c r="BF263" s="92"/>
      <c r="BG263" s="94"/>
      <c r="BH263" s="95"/>
      <c r="BI263" s="95"/>
      <c r="BJ263" s="95"/>
      <c r="BK263" s="94"/>
      <c r="BL263" s="346"/>
      <c r="BM263" s="93"/>
      <c r="BN263" s="94"/>
      <c r="BO263" s="94"/>
      <c r="BP263" s="330"/>
      <c r="BQ263" s="347"/>
      <c r="BR263" s="92"/>
      <c r="BS263" s="94"/>
      <c r="BT263" s="95"/>
      <c r="BU263" s="95"/>
      <c r="BV263" s="95"/>
      <c r="BW263" s="94"/>
      <c r="BX263" s="346"/>
      <c r="BY263" s="93"/>
      <c r="BZ263" s="94"/>
      <c r="CA263" s="94"/>
      <c r="CB263" s="330"/>
      <c r="CC263" s="347"/>
      <c r="CD263" s="92"/>
      <c r="CE263" s="94"/>
      <c r="CF263" s="95"/>
      <c r="CG263" s="95"/>
      <c r="CH263" s="95"/>
      <c r="CI263" s="94"/>
    </row>
    <row r="264" spans="1:87" x14ac:dyDescent="0.2">
      <c r="A264" s="8">
        <v>255</v>
      </c>
      <c r="B264" s="1125">
        <f>'Membership Record'!B265</f>
        <v>0</v>
      </c>
      <c r="C264" s="1125"/>
      <c r="D264" s="87">
        <f>'Membership Record'!G265+'Membership Record'!P265</f>
        <v>0</v>
      </c>
      <c r="E264" s="350">
        <f t="shared" si="25"/>
        <v>0</v>
      </c>
      <c r="F264" s="614">
        <f>'Membership Record'!H265+'Membership Record'!Q265</f>
        <v>0</v>
      </c>
      <c r="G264" s="615">
        <f t="shared" si="26"/>
        <v>0</v>
      </c>
      <c r="H264" s="614">
        <f>'Membership Record'!I265+'Membership Record'!R265</f>
        <v>0</v>
      </c>
      <c r="I264" s="616">
        <f t="shared" si="27"/>
        <v>0</v>
      </c>
      <c r="J264" s="614">
        <f>'Membership Record'!J265+'Membership Record'!S265</f>
        <v>0</v>
      </c>
      <c r="K264" s="618">
        <f t="shared" si="28"/>
        <v>0</v>
      </c>
      <c r="L264" s="618">
        <f>'Membership Record'!K265+'Membership Record'!T265</f>
        <v>0</v>
      </c>
      <c r="M264" s="615">
        <f t="shared" si="29"/>
        <v>0</v>
      </c>
      <c r="N264" s="614">
        <f>'Membership Record'!L265+'Membership Record'!U265</f>
        <v>0</v>
      </c>
      <c r="O264" s="619">
        <f t="shared" si="30"/>
        <v>0</v>
      </c>
      <c r="P264" s="346"/>
      <c r="Q264" s="93"/>
      <c r="R264" s="94"/>
      <c r="S264" s="94"/>
      <c r="T264" s="330"/>
      <c r="U264" s="347"/>
      <c r="V264" s="92"/>
      <c r="W264" s="94"/>
      <c r="X264" s="95"/>
      <c r="Y264" s="95"/>
      <c r="Z264" s="95"/>
      <c r="AA264" s="94"/>
      <c r="AB264" s="346"/>
      <c r="AC264" s="93"/>
      <c r="AD264" s="94"/>
      <c r="AE264" s="94"/>
      <c r="AF264" s="330"/>
      <c r="AG264" s="347"/>
      <c r="AH264" s="92"/>
      <c r="AI264" s="94"/>
      <c r="AJ264" s="95"/>
      <c r="AK264" s="95"/>
      <c r="AL264" s="95"/>
      <c r="AM264" s="94"/>
      <c r="AN264" s="346"/>
      <c r="AO264" s="93"/>
      <c r="AP264" s="94"/>
      <c r="AQ264" s="94"/>
      <c r="AR264" s="330"/>
      <c r="AS264" s="347"/>
      <c r="AT264" s="92"/>
      <c r="AU264" s="94"/>
      <c r="AV264" s="95"/>
      <c r="AW264" s="95"/>
      <c r="AX264" s="95"/>
      <c r="AY264" s="94"/>
      <c r="AZ264" s="346"/>
      <c r="BA264" s="93"/>
      <c r="BB264" s="94"/>
      <c r="BC264" s="94"/>
      <c r="BD264" s="330"/>
      <c r="BE264" s="347"/>
      <c r="BF264" s="92"/>
      <c r="BG264" s="94"/>
      <c r="BH264" s="95"/>
      <c r="BI264" s="95"/>
      <c r="BJ264" s="95"/>
      <c r="BK264" s="94"/>
      <c r="BL264" s="346"/>
      <c r="BM264" s="93"/>
      <c r="BN264" s="94"/>
      <c r="BO264" s="94"/>
      <c r="BP264" s="330"/>
      <c r="BQ264" s="347"/>
      <c r="BR264" s="92"/>
      <c r="BS264" s="94"/>
      <c r="BT264" s="95"/>
      <c r="BU264" s="95"/>
      <c r="BV264" s="95"/>
      <c r="BW264" s="94"/>
      <c r="BX264" s="346"/>
      <c r="BY264" s="93"/>
      <c r="BZ264" s="94"/>
      <c r="CA264" s="94"/>
      <c r="CB264" s="330"/>
      <c r="CC264" s="347"/>
      <c r="CD264" s="92"/>
      <c r="CE264" s="94"/>
      <c r="CF264" s="95"/>
      <c r="CG264" s="95"/>
      <c r="CH264" s="95"/>
      <c r="CI264" s="94"/>
    </row>
    <row r="265" spans="1:87" x14ac:dyDescent="0.2">
      <c r="A265" s="8">
        <v>256</v>
      </c>
      <c r="B265" s="1125">
        <f>'Membership Record'!B266</f>
        <v>0</v>
      </c>
      <c r="C265" s="1125"/>
      <c r="D265" s="87">
        <f>'Membership Record'!G266+'Membership Record'!P266</f>
        <v>0</v>
      </c>
      <c r="E265" s="350">
        <f t="shared" si="25"/>
        <v>0</v>
      </c>
      <c r="F265" s="614">
        <f>'Membership Record'!H266+'Membership Record'!Q266</f>
        <v>0</v>
      </c>
      <c r="G265" s="615">
        <f t="shared" si="26"/>
        <v>0</v>
      </c>
      <c r="H265" s="614">
        <f>'Membership Record'!I266+'Membership Record'!R266</f>
        <v>0</v>
      </c>
      <c r="I265" s="616">
        <f t="shared" si="27"/>
        <v>0</v>
      </c>
      <c r="J265" s="614">
        <f>'Membership Record'!J266+'Membership Record'!S266</f>
        <v>0</v>
      </c>
      <c r="K265" s="618">
        <f t="shared" si="28"/>
        <v>0</v>
      </c>
      <c r="L265" s="618">
        <f>'Membership Record'!K266+'Membership Record'!T266</f>
        <v>0</v>
      </c>
      <c r="M265" s="615">
        <f t="shared" si="29"/>
        <v>0</v>
      </c>
      <c r="N265" s="614">
        <f>'Membership Record'!L266+'Membership Record'!U266</f>
        <v>0</v>
      </c>
      <c r="O265" s="619">
        <f t="shared" si="30"/>
        <v>0</v>
      </c>
      <c r="P265" s="346"/>
      <c r="Q265" s="93"/>
      <c r="R265" s="94"/>
      <c r="S265" s="94"/>
      <c r="T265" s="330"/>
      <c r="U265" s="347"/>
      <c r="V265" s="92"/>
      <c r="W265" s="94"/>
      <c r="X265" s="95"/>
      <c r="Y265" s="95"/>
      <c r="Z265" s="95"/>
      <c r="AA265" s="94"/>
      <c r="AB265" s="346"/>
      <c r="AC265" s="93"/>
      <c r="AD265" s="94"/>
      <c r="AE265" s="94"/>
      <c r="AF265" s="330"/>
      <c r="AG265" s="347"/>
      <c r="AH265" s="92"/>
      <c r="AI265" s="94"/>
      <c r="AJ265" s="95"/>
      <c r="AK265" s="95"/>
      <c r="AL265" s="95"/>
      <c r="AM265" s="94"/>
      <c r="AN265" s="346"/>
      <c r="AO265" s="93"/>
      <c r="AP265" s="94"/>
      <c r="AQ265" s="94"/>
      <c r="AR265" s="330"/>
      <c r="AS265" s="347"/>
      <c r="AT265" s="92"/>
      <c r="AU265" s="94"/>
      <c r="AV265" s="95"/>
      <c r="AW265" s="95"/>
      <c r="AX265" s="95"/>
      <c r="AY265" s="94"/>
      <c r="AZ265" s="346"/>
      <c r="BA265" s="93"/>
      <c r="BB265" s="94"/>
      <c r="BC265" s="94"/>
      <c r="BD265" s="330"/>
      <c r="BE265" s="347"/>
      <c r="BF265" s="92"/>
      <c r="BG265" s="94"/>
      <c r="BH265" s="95"/>
      <c r="BI265" s="95"/>
      <c r="BJ265" s="95"/>
      <c r="BK265" s="94"/>
      <c r="BL265" s="346"/>
      <c r="BM265" s="93"/>
      <c r="BN265" s="94"/>
      <c r="BO265" s="94"/>
      <c r="BP265" s="330"/>
      <c r="BQ265" s="347"/>
      <c r="BR265" s="92"/>
      <c r="BS265" s="94"/>
      <c r="BT265" s="95"/>
      <c r="BU265" s="95"/>
      <c r="BV265" s="95"/>
      <c r="BW265" s="94"/>
      <c r="BX265" s="346"/>
      <c r="BY265" s="93"/>
      <c r="BZ265" s="94"/>
      <c r="CA265" s="94"/>
      <c r="CB265" s="330"/>
      <c r="CC265" s="347"/>
      <c r="CD265" s="92"/>
      <c r="CE265" s="94"/>
      <c r="CF265" s="95"/>
      <c r="CG265" s="95"/>
      <c r="CH265" s="95"/>
      <c r="CI265" s="94"/>
    </row>
    <row r="266" spans="1:87" x14ac:dyDescent="0.2">
      <c r="A266" s="8">
        <v>257</v>
      </c>
      <c r="B266" s="1125">
        <f>'Membership Record'!B267</f>
        <v>0</v>
      </c>
      <c r="C266" s="1125"/>
      <c r="D266" s="87">
        <f>'Membership Record'!G267+'Membership Record'!P267</f>
        <v>0</v>
      </c>
      <c r="E266" s="350">
        <f t="shared" si="25"/>
        <v>0</v>
      </c>
      <c r="F266" s="614">
        <f>'Membership Record'!H267+'Membership Record'!Q267</f>
        <v>0</v>
      </c>
      <c r="G266" s="615">
        <f t="shared" si="26"/>
        <v>0</v>
      </c>
      <c r="H266" s="614">
        <f>'Membership Record'!I267+'Membership Record'!R267</f>
        <v>0</v>
      </c>
      <c r="I266" s="616">
        <f t="shared" si="27"/>
        <v>0</v>
      </c>
      <c r="J266" s="614">
        <f>'Membership Record'!J267+'Membership Record'!S267</f>
        <v>0</v>
      </c>
      <c r="K266" s="618">
        <f t="shared" si="28"/>
        <v>0</v>
      </c>
      <c r="L266" s="618">
        <f>'Membership Record'!K267+'Membership Record'!T267</f>
        <v>0</v>
      </c>
      <c r="M266" s="615">
        <f t="shared" si="29"/>
        <v>0</v>
      </c>
      <c r="N266" s="614">
        <f>'Membership Record'!L267+'Membership Record'!U267</f>
        <v>0</v>
      </c>
      <c r="O266" s="619">
        <f t="shared" si="30"/>
        <v>0</v>
      </c>
      <c r="P266" s="346"/>
      <c r="Q266" s="93"/>
      <c r="R266" s="94"/>
      <c r="S266" s="94"/>
      <c r="T266" s="330"/>
      <c r="U266" s="347"/>
      <c r="V266" s="92"/>
      <c r="W266" s="94"/>
      <c r="X266" s="95"/>
      <c r="Y266" s="95"/>
      <c r="Z266" s="95"/>
      <c r="AA266" s="94"/>
      <c r="AB266" s="346"/>
      <c r="AC266" s="93"/>
      <c r="AD266" s="94"/>
      <c r="AE266" s="94"/>
      <c r="AF266" s="330"/>
      <c r="AG266" s="347"/>
      <c r="AH266" s="92"/>
      <c r="AI266" s="94"/>
      <c r="AJ266" s="95"/>
      <c r="AK266" s="95"/>
      <c r="AL266" s="95"/>
      <c r="AM266" s="94"/>
      <c r="AN266" s="346"/>
      <c r="AO266" s="93"/>
      <c r="AP266" s="94"/>
      <c r="AQ266" s="94"/>
      <c r="AR266" s="330"/>
      <c r="AS266" s="347"/>
      <c r="AT266" s="92"/>
      <c r="AU266" s="94"/>
      <c r="AV266" s="95"/>
      <c r="AW266" s="95"/>
      <c r="AX266" s="95"/>
      <c r="AY266" s="94"/>
      <c r="AZ266" s="346"/>
      <c r="BA266" s="93"/>
      <c r="BB266" s="94"/>
      <c r="BC266" s="94"/>
      <c r="BD266" s="330"/>
      <c r="BE266" s="347"/>
      <c r="BF266" s="92"/>
      <c r="BG266" s="94"/>
      <c r="BH266" s="95"/>
      <c r="BI266" s="95"/>
      <c r="BJ266" s="95"/>
      <c r="BK266" s="94"/>
      <c r="BL266" s="346"/>
      <c r="BM266" s="93"/>
      <c r="BN266" s="94"/>
      <c r="BO266" s="94"/>
      <c r="BP266" s="330"/>
      <c r="BQ266" s="347"/>
      <c r="BR266" s="92"/>
      <c r="BS266" s="94"/>
      <c r="BT266" s="95"/>
      <c r="BU266" s="95"/>
      <c r="BV266" s="95"/>
      <c r="BW266" s="94"/>
      <c r="BX266" s="346"/>
      <c r="BY266" s="93"/>
      <c r="BZ266" s="94"/>
      <c r="CA266" s="94"/>
      <c r="CB266" s="330"/>
      <c r="CC266" s="347"/>
      <c r="CD266" s="92"/>
      <c r="CE266" s="94"/>
      <c r="CF266" s="95"/>
      <c r="CG266" s="95"/>
      <c r="CH266" s="95"/>
      <c r="CI266" s="94"/>
    </row>
    <row r="267" spans="1:87" x14ac:dyDescent="0.2">
      <c r="A267" s="8">
        <v>258</v>
      </c>
      <c r="B267" s="1125">
        <f>'Membership Record'!B268</f>
        <v>0</v>
      </c>
      <c r="C267" s="1125"/>
      <c r="D267" s="87">
        <f>'Membership Record'!G268+'Membership Record'!P268</f>
        <v>0</v>
      </c>
      <c r="E267" s="350">
        <f t="shared" ref="E267:E309" si="31">P267+V267+AB267+AH267+AN267+AT267+AZ267+BF267+BL267+BR267+BX267+CD267</f>
        <v>0</v>
      </c>
      <c r="F267" s="614">
        <f>'Membership Record'!H268+'Membership Record'!Q268</f>
        <v>0</v>
      </c>
      <c r="G267" s="615">
        <f t="shared" ref="G267:G309" si="32">R267+X267+AD267+AJ267+AP267+AV267+BB267+BH267+BN267+BT267+BZ267+CF267</f>
        <v>0</v>
      </c>
      <c r="H267" s="614">
        <f>'Membership Record'!I268+'Membership Record'!R268</f>
        <v>0</v>
      </c>
      <c r="I267" s="616">
        <f t="shared" ref="I267:I309" si="33">Q267+W267+AC267+AI267+AO267+AU267+BA267+BG267+BM267+BS267+BY267+CE267</f>
        <v>0</v>
      </c>
      <c r="J267" s="614">
        <f>'Membership Record'!J268+'Membership Record'!S268</f>
        <v>0</v>
      </c>
      <c r="K267" s="618">
        <f t="shared" ref="K267:K309" si="34">S267+Y267+AE267+AK267+AQ267+AW267+BC267+BI267+BO267+BU267+CA267+CG267</f>
        <v>0</v>
      </c>
      <c r="L267" s="618">
        <f>'Membership Record'!K268+'Membership Record'!T268</f>
        <v>0</v>
      </c>
      <c r="M267" s="615">
        <f t="shared" ref="M267:M309" si="35">T267+Z267+AF267+AL267+AR267+AX267+BD267+BJ267+BP267+BV267+CB267+CH267</f>
        <v>0</v>
      </c>
      <c r="N267" s="614">
        <f>'Membership Record'!L268+'Membership Record'!U268</f>
        <v>0</v>
      </c>
      <c r="O267" s="619">
        <f t="shared" ref="O267:O309" si="36">U267+AA267+AG267+AM267+AS267+AY267+BE267+BK267+BQ267+BW267+CC267+CI267</f>
        <v>0</v>
      </c>
      <c r="P267" s="346"/>
      <c r="Q267" s="93"/>
      <c r="R267" s="94"/>
      <c r="S267" s="94"/>
      <c r="T267" s="330"/>
      <c r="U267" s="347"/>
      <c r="V267" s="92"/>
      <c r="W267" s="94"/>
      <c r="X267" s="95"/>
      <c r="Y267" s="95"/>
      <c r="Z267" s="95"/>
      <c r="AA267" s="94"/>
      <c r="AB267" s="346"/>
      <c r="AC267" s="93"/>
      <c r="AD267" s="94"/>
      <c r="AE267" s="94"/>
      <c r="AF267" s="330"/>
      <c r="AG267" s="347"/>
      <c r="AH267" s="92"/>
      <c r="AI267" s="94"/>
      <c r="AJ267" s="95"/>
      <c r="AK267" s="95"/>
      <c r="AL267" s="95"/>
      <c r="AM267" s="94"/>
      <c r="AN267" s="346"/>
      <c r="AO267" s="93"/>
      <c r="AP267" s="94"/>
      <c r="AQ267" s="94"/>
      <c r="AR267" s="330"/>
      <c r="AS267" s="347"/>
      <c r="AT267" s="92"/>
      <c r="AU267" s="94"/>
      <c r="AV267" s="95"/>
      <c r="AW267" s="95"/>
      <c r="AX267" s="95"/>
      <c r="AY267" s="94"/>
      <c r="AZ267" s="346"/>
      <c r="BA267" s="93"/>
      <c r="BB267" s="94"/>
      <c r="BC267" s="94"/>
      <c r="BD267" s="330"/>
      <c r="BE267" s="347"/>
      <c r="BF267" s="92"/>
      <c r="BG267" s="94"/>
      <c r="BH267" s="95"/>
      <c r="BI267" s="95"/>
      <c r="BJ267" s="95"/>
      <c r="BK267" s="94"/>
      <c r="BL267" s="346"/>
      <c r="BM267" s="93"/>
      <c r="BN267" s="94"/>
      <c r="BO267" s="94"/>
      <c r="BP267" s="330"/>
      <c r="BQ267" s="347"/>
      <c r="BR267" s="92"/>
      <c r="BS267" s="94"/>
      <c r="BT267" s="95"/>
      <c r="BU267" s="95"/>
      <c r="BV267" s="95"/>
      <c r="BW267" s="94"/>
      <c r="BX267" s="346"/>
      <c r="BY267" s="93"/>
      <c r="BZ267" s="94"/>
      <c r="CA267" s="94"/>
      <c r="CB267" s="330"/>
      <c r="CC267" s="347"/>
      <c r="CD267" s="92"/>
      <c r="CE267" s="94"/>
      <c r="CF267" s="95"/>
      <c r="CG267" s="95"/>
      <c r="CH267" s="95"/>
      <c r="CI267" s="94"/>
    </row>
    <row r="268" spans="1:87" x14ac:dyDescent="0.2">
      <c r="A268" s="8">
        <v>259</v>
      </c>
      <c r="B268" s="1125">
        <f>'Membership Record'!B269</f>
        <v>0</v>
      </c>
      <c r="C268" s="1125"/>
      <c r="D268" s="87">
        <f>'Membership Record'!G269+'Membership Record'!P269</f>
        <v>0</v>
      </c>
      <c r="E268" s="350">
        <f t="shared" si="31"/>
        <v>0</v>
      </c>
      <c r="F268" s="614">
        <f>'Membership Record'!H269+'Membership Record'!Q269</f>
        <v>0</v>
      </c>
      <c r="G268" s="615">
        <f t="shared" si="32"/>
        <v>0</v>
      </c>
      <c r="H268" s="614">
        <f>'Membership Record'!I269+'Membership Record'!R269</f>
        <v>0</v>
      </c>
      <c r="I268" s="616">
        <f t="shared" si="33"/>
        <v>0</v>
      </c>
      <c r="J268" s="614">
        <f>'Membership Record'!J269+'Membership Record'!S269</f>
        <v>0</v>
      </c>
      <c r="K268" s="618">
        <f t="shared" si="34"/>
        <v>0</v>
      </c>
      <c r="L268" s="618">
        <f>'Membership Record'!K269+'Membership Record'!T269</f>
        <v>0</v>
      </c>
      <c r="M268" s="615">
        <f t="shared" si="35"/>
        <v>0</v>
      </c>
      <c r="N268" s="614">
        <f>'Membership Record'!L269+'Membership Record'!U269</f>
        <v>0</v>
      </c>
      <c r="O268" s="619">
        <f t="shared" si="36"/>
        <v>0</v>
      </c>
      <c r="P268" s="346"/>
      <c r="Q268" s="93"/>
      <c r="R268" s="94"/>
      <c r="S268" s="94"/>
      <c r="T268" s="330"/>
      <c r="U268" s="347"/>
      <c r="V268" s="92"/>
      <c r="W268" s="94"/>
      <c r="X268" s="95"/>
      <c r="Y268" s="95"/>
      <c r="Z268" s="95"/>
      <c r="AA268" s="94"/>
      <c r="AB268" s="346"/>
      <c r="AC268" s="93"/>
      <c r="AD268" s="94"/>
      <c r="AE268" s="94"/>
      <c r="AF268" s="330"/>
      <c r="AG268" s="347"/>
      <c r="AH268" s="92"/>
      <c r="AI268" s="94"/>
      <c r="AJ268" s="95"/>
      <c r="AK268" s="95"/>
      <c r="AL268" s="95"/>
      <c r="AM268" s="94"/>
      <c r="AN268" s="346"/>
      <c r="AO268" s="93"/>
      <c r="AP268" s="94"/>
      <c r="AQ268" s="94"/>
      <c r="AR268" s="330"/>
      <c r="AS268" s="347"/>
      <c r="AT268" s="92"/>
      <c r="AU268" s="94"/>
      <c r="AV268" s="95"/>
      <c r="AW268" s="95"/>
      <c r="AX268" s="95"/>
      <c r="AY268" s="94"/>
      <c r="AZ268" s="346"/>
      <c r="BA268" s="93"/>
      <c r="BB268" s="94"/>
      <c r="BC268" s="94"/>
      <c r="BD268" s="330"/>
      <c r="BE268" s="347"/>
      <c r="BF268" s="92"/>
      <c r="BG268" s="94"/>
      <c r="BH268" s="95"/>
      <c r="BI268" s="95"/>
      <c r="BJ268" s="95"/>
      <c r="BK268" s="94"/>
      <c r="BL268" s="346"/>
      <c r="BM268" s="93"/>
      <c r="BN268" s="94"/>
      <c r="BO268" s="94"/>
      <c r="BP268" s="330"/>
      <c r="BQ268" s="347"/>
      <c r="BR268" s="92"/>
      <c r="BS268" s="94"/>
      <c r="BT268" s="95"/>
      <c r="BU268" s="95"/>
      <c r="BV268" s="95"/>
      <c r="BW268" s="94"/>
      <c r="BX268" s="346"/>
      <c r="BY268" s="93"/>
      <c r="BZ268" s="94"/>
      <c r="CA268" s="94"/>
      <c r="CB268" s="330"/>
      <c r="CC268" s="347"/>
      <c r="CD268" s="92"/>
      <c r="CE268" s="94"/>
      <c r="CF268" s="95"/>
      <c r="CG268" s="95"/>
      <c r="CH268" s="95"/>
      <c r="CI268" s="94"/>
    </row>
    <row r="269" spans="1:87" x14ac:dyDescent="0.2">
      <c r="A269" s="8">
        <v>260</v>
      </c>
      <c r="B269" s="1125">
        <f>'Membership Record'!B270</f>
        <v>0</v>
      </c>
      <c r="C269" s="1125"/>
      <c r="D269" s="87">
        <f>'Membership Record'!G270+'Membership Record'!P270</f>
        <v>0</v>
      </c>
      <c r="E269" s="350">
        <f t="shared" si="31"/>
        <v>0</v>
      </c>
      <c r="F269" s="614">
        <f>'Membership Record'!H270+'Membership Record'!Q270</f>
        <v>0</v>
      </c>
      <c r="G269" s="615">
        <f t="shared" si="32"/>
        <v>0</v>
      </c>
      <c r="H269" s="614">
        <f>'Membership Record'!I270+'Membership Record'!R270</f>
        <v>0</v>
      </c>
      <c r="I269" s="616">
        <f t="shared" si="33"/>
        <v>0</v>
      </c>
      <c r="J269" s="614">
        <f>'Membership Record'!J270+'Membership Record'!S270</f>
        <v>0</v>
      </c>
      <c r="K269" s="618">
        <f t="shared" si="34"/>
        <v>0</v>
      </c>
      <c r="L269" s="618">
        <f>'Membership Record'!K270+'Membership Record'!T270</f>
        <v>0</v>
      </c>
      <c r="M269" s="615">
        <f t="shared" si="35"/>
        <v>0</v>
      </c>
      <c r="N269" s="614">
        <f>'Membership Record'!L270+'Membership Record'!U270</f>
        <v>0</v>
      </c>
      <c r="O269" s="619">
        <f t="shared" si="36"/>
        <v>0</v>
      </c>
      <c r="P269" s="346"/>
      <c r="Q269" s="93"/>
      <c r="R269" s="94"/>
      <c r="S269" s="94"/>
      <c r="T269" s="330"/>
      <c r="U269" s="347"/>
      <c r="V269" s="92"/>
      <c r="W269" s="94"/>
      <c r="X269" s="95"/>
      <c r="Y269" s="95"/>
      <c r="Z269" s="95"/>
      <c r="AA269" s="94"/>
      <c r="AB269" s="346"/>
      <c r="AC269" s="93"/>
      <c r="AD269" s="94"/>
      <c r="AE269" s="94"/>
      <c r="AF269" s="330"/>
      <c r="AG269" s="347"/>
      <c r="AH269" s="92"/>
      <c r="AI269" s="94"/>
      <c r="AJ269" s="95"/>
      <c r="AK269" s="95"/>
      <c r="AL269" s="95"/>
      <c r="AM269" s="94"/>
      <c r="AN269" s="346"/>
      <c r="AO269" s="93"/>
      <c r="AP269" s="94"/>
      <c r="AQ269" s="94"/>
      <c r="AR269" s="330"/>
      <c r="AS269" s="347"/>
      <c r="AT269" s="92"/>
      <c r="AU269" s="94"/>
      <c r="AV269" s="95"/>
      <c r="AW269" s="95"/>
      <c r="AX269" s="95"/>
      <c r="AY269" s="94"/>
      <c r="AZ269" s="346"/>
      <c r="BA269" s="93"/>
      <c r="BB269" s="94"/>
      <c r="BC269" s="94"/>
      <c r="BD269" s="330"/>
      <c r="BE269" s="347"/>
      <c r="BF269" s="92"/>
      <c r="BG269" s="94"/>
      <c r="BH269" s="95"/>
      <c r="BI269" s="95"/>
      <c r="BJ269" s="95"/>
      <c r="BK269" s="94"/>
      <c r="BL269" s="346"/>
      <c r="BM269" s="93"/>
      <c r="BN269" s="94"/>
      <c r="BO269" s="94"/>
      <c r="BP269" s="330"/>
      <c r="BQ269" s="347"/>
      <c r="BR269" s="92"/>
      <c r="BS269" s="94"/>
      <c r="BT269" s="95"/>
      <c r="BU269" s="95"/>
      <c r="BV269" s="95"/>
      <c r="BW269" s="94"/>
      <c r="BX269" s="346"/>
      <c r="BY269" s="93"/>
      <c r="BZ269" s="94"/>
      <c r="CA269" s="94"/>
      <c r="CB269" s="330"/>
      <c r="CC269" s="347"/>
      <c r="CD269" s="92"/>
      <c r="CE269" s="94"/>
      <c r="CF269" s="95"/>
      <c r="CG269" s="95"/>
      <c r="CH269" s="95"/>
      <c r="CI269" s="94"/>
    </row>
    <row r="270" spans="1:87" x14ac:dyDescent="0.2">
      <c r="A270" s="8">
        <v>261</v>
      </c>
      <c r="B270" s="1125">
        <f>'Membership Record'!B271</f>
        <v>0</v>
      </c>
      <c r="C270" s="1125"/>
      <c r="D270" s="87">
        <f>'Membership Record'!G271+'Membership Record'!P271</f>
        <v>0</v>
      </c>
      <c r="E270" s="350">
        <f t="shared" si="31"/>
        <v>0</v>
      </c>
      <c r="F270" s="614">
        <f>'Membership Record'!H271+'Membership Record'!Q271</f>
        <v>0</v>
      </c>
      <c r="G270" s="615">
        <f t="shared" si="32"/>
        <v>0</v>
      </c>
      <c r="H270" s="614">
        <f>'Membership Record'!I271+'Membership Record'!R271</f>
        <v>0</v>
      </c>
      <c r="I270" s="616">
        <f t="shared" si="33"/>
        <v>0</v>
      </c>
      <c r="J270" s="614">
        <f>'Membership Record'!J271+'Membership Record'!S271</f>
        <v>0</v>
      </c>
      <c r="K270" s="618">
        <f t="shared" si="34"/>
        <v>0</v>
      </c>
      <c r="L270" s="618">
        <f>'Membership Record'!K271+'Membership Record'!T271</f>
        <v>0</v>
      </c>
      <c r="M270" s="615">
        <f t="shared" si="35"/>
        <v>0</v>
      </c>
      <c r="N270" s="614">
        <f>'Membership Record'!L271+'Membership Record'!U271</f>
        <v>0</v>
      </c>
      <c r="O270" s="619">
        <f t="shared" si="36"/>
        <v>0</v>
      </c>
      <c r="P270" s="346"/>
      <c r="Q270" s="93"/>
      <c r="R270" s="94"/>
      <c r="S270" s="94"/>
      <c r="T270" s="330"/>
      <c r="U270" s="347"/>
      <c r="V270" s="92"/>
      <c r="W270" s="94"/>
      <c r="X270" s="95"/>
      <c r="Y270" s="95"/>
      <c r="Z270" s="95"/>
      <c r="AA270" s="94"/>
      <c r="AB270" s="346"/>
      <c r="AC270" s="93"/>
      <c r="AD270" s="94"/>
      <c r="AE270" s="94"/>
      <c r="AF270" s="330"/>
      <c r="AG270" s="347"/>
      <c r="AH270" s="92"/>
      <c r="AI270" s="94"/>
      <c r="AJ270" s="95"/>
      <c r="AK270" s="95"/>
      <c r="AL270" s="95"/>
      <c r="AM270" s="94"/>
      <c r="AN270" s="346"/>
      <c r="AO270" s="93"/>
      <c r="AP270" s="94"/>
      <c r="AQ270" s="94"/>
      <c r="AR270" s="330"/>
      <c r="AS270" s="347"/>
      <c r="AT270" s="92"/>
      <c r="AU270" s="94"/>
      <c r="AV270" s="95"/>
      <c r="AW270" s="95"/>
      <c r="AX270" s="95"/>
      <c r="AY270" s="94"/>
      <c r="AZ270" s="346"/>
      <c r="BA270" s="93"/>
      <c r="BB270" s="94"/>
      <c r="BC270" s="94"/>
      <c r="BD270" s="330"/>
      <c r="BE270" s="347"/>
      <c r="BF270" s="92"/>
      <c r="BG270" s="94"/>
      <c r="BH270" s="95"/>
      <c r="BI270" s="95"/>
      <c r="BJ270" s="95"/>
      <c r="BK270" s="94"/>
      <c r="BL270" s="346"/>
      <c r="BM270" s="93"/>
      <c r="BN270" s="94"/>
      <c r="BO270" s="94"/>
      <c r="BP270" s="330"/>
      <c r="BQ270" s="347"/>
      <c r="BR270" s="92"/>
      <c r="BS270" s="94"/>
      <c r="BT270" s="95"/>
      <c r="BU270" s="95"/>
      <c r="BV270" s="95"/>
      <c r="BW270" s="94"/>
      <c r="BX270" s="346"/>
      <c r="BY270" s="93"/>
      <c r="BZ270" s="94"/>
      <c r="CA270" s="94"/>
      <c r="CB270" s="330"/>
      <c r="CC270" s="347"/>
      <c r="CD270" s="92"/>
      <c r="CE270" s="94"/>
      <c r="CF270" s="95"/>
      <c r="CG270" s="95"/>
      <c r="CH270" s="95"/>
      <c r="CI270" s="94"/>
    </row>
    <row r="271" spans="1:87" x14ac:dyDescent="0.2">
      <c r="A271" s="8">
        <v>262</v>
      </c>
      <c r="B271" s="1125">
        <f>'Membership Record'!B272</f>
        <v>0</v>
      </c>
      <c r="C271" s="1125"/>
      <c r="D271" s="87">
        <f>'Membership Record'!G272+'Membership Record'!P272</f>
        <v>0</v>
      </c>
      <c r="E271" s="350">
        <f t="shared" si="31"/>
        <v>0</v>
      </c>
      <c r="F271" s="614">
        <f>'Membership Record'!H272+'Membership Record'!Q272</f>
        <v>0</v>
      </c>
      <c r="G271" s="615">
        <f t="shared" si="32"/>
        <v>0</v>
      </c>
      <c r="H271" s="614">
        <f>'Membership Record'!I272+'Membership Record'!R272</f>
        <v>0</v>
      </c>
      <c r="I271" s="616">
        <f t="shared" si="33"/>
        <v>0</v>
      </c>
      <c r="J271" s="614">
        <f>'Membership Record'!J272+'Membership Record'!S272</f>
        <v>0</v>
      </c>
      <c r="K271" s="618">
        <f t="shared" si="34"/>
        <v>0</v>
      </c>
      <c r="L271" s="618">
        <f>'Membership Record'!K272+'Membership Record'!T272</f>
        <v>0</v>
      </c>
      <c r="M271" s="615">
        <f t="shared" si="35"/>
        <v>0</v>
      </c>
      <c r="N271" s="614">
        <f>'Membership Record'!L272+'Membership Record'!U272</f>
        <v>0</v>
      </c>
      <c r="O271" s="619">
        <f t="shared" si="36"/>
        <v>0</v>
      </c>
      <c r="P271" s="346"/>
      <c r="Q271" s="93"/>
      <c r="R271" s="94"/>
      <c r="S271" s="94"/>
      <c r="T271" s="330"/>
      <c r="U271" s="347"/>
      <c r="V271" s="92"/>
      <c r="W271" s="94"/>
      <c r="X271" s="95"/>
      <c r="Y271" s="95"/>
      <c r="Z271" s="95"/>
      <c r="AA271" s="94"/>
      <c r="AB271" s="346"/>
      <c r="AC271" s="93"/>
      <c r="AD271" s="94"/>
      <c r="AE271" s="94"/>
      <c r="AF271" s="330"/>
      <c r="AG271" s="347"/>
      <c r="AH271" s="92"/>
      <c r="AI271" s="94"/>
      <c r="AJ271" s="95"/>
      <c r="AK271" s="95"/>
      <c r="AL271" s="95"/>
      <c r="AM271" s="94"/>
      <c r="AN271" s="346"/>
      <c r="AO271" s="93"/>
      <c r="AP271" s="94"/>
      <c r="AQ271" s="94"/>
      <c r="AR271" s="330"/>
      <c r="AS271" s="347"/>
      <c r="AT271" s="92"/>
      <c r="AU271" s="94"/>
      <c r="AV271" s="95"/>
      <c r="AW271" s="95"/>
      <c r="AX271" s="95"/>
      <c r="AY271" s="94"/>
      <c r="AZ271" s="346"/>
      <c r="BA271" s="93"/>
      <c r="BB271" s="94"/>
      <c r="BC271" s="94"/>
      <c r="BD271" s="330"/>
      <c r="BE271" s="347"/>
      <c r="BF271" s="92"/>
      <c r="BG271" s="94"/>
      <c r="BH271" s="95"/>
      <c r="BI271" s="95"/>
      <c r="BJ271" s="95"/>
      <c r="BK271" s="94"/>
      <c r="BL271" s="346"/>
      <c r="BM271" s="93"/>
      <c r="BN271" s="94"/>
      <c r="BO271" s="94"/>
      <c r="BP271" s="330"/>
      <c r="BQ271" s="347"/>
      <c r="BR271" s="92"/>
      <c r="BS271" s="94"/>
      <c r="BT271" s="95"/>
      <c r="BU271" s="95"/>
      <c r="BV271" s="95"/>
      <c r="BW271" s="94"/>
      <c r="BX271" s="346"/>
      <c r="BY271" s="93"/>
      <c r="BZ271" s="94"/>
      <c r="CA271" s="94"/>
      <c r="CB271" s="330"/>
      <c r="CC271" s="347"/>
      <c r="CD271" s="92"/>
      <c r="CE271" s="94"/>
      <c r="CF271" s="95"/>
      <c r="CG271" s="95"/>
      <c r="CH271" s="95"/>
      <c r="CI271" s="94"/>
    </row>
    <row r="272" spans="1:87" x14ac:dyDescent="0.2">
      <c r="A272" s="8">
        <v>263</v>
      </c>
      <c r="B272" s="1125">
        <f>'Membership Record'!B273</f>
        <v>0</v>
      </c>
      <c r="C272" s="1125"/>
      <c r="D272" s="87">
        <f>'Membership Record'!G273+'Membership Record'!P273</f>
        <v>0</v>
      </c>
      <c r="E272" s="350">
        <f t="shared" si="31"/>
        <v>0</v>
      </c>
      <c r="F272" s="614">
        <f>'Membership Record'!H273+'Membership Record'!Q273</f>
        <v>0</v>
      </c>
      <c r="G272" s="615">
        <f t="shared" si="32"/>
        <v>0</v>
      </c>
      <c r="H272" s="614">
        <f>'Membership Record'!I273+'Membership Record'!R273</f>
        <v>0</v>
      </c>
      <c r="I272" s="616">
        <f t="shared" si="33"/>
        <v>0</v>
      </c>
      <c r="J272" s="614">
        <f>'Membership Record'!J273+'Membership Record'!S273</f>
        <v>0</v>
      </c>
      <c r="K272" s="618">
        <f t="shared" si="34"/>
        <v>0</v>
      </c>
      <c r="L272" s="618">
        <f>'Membership Record'!K273+'Membership Record'!T273</f>
        <v>0</v>
      </c>
      <c r="M272" s="615">
        <f t="shared" si="35"/>
        <v>0</v>
      </c>
      <c r="N272" s="614">
        <f>'Membership Record'!L273+'Membership Record'!U273</f>
        <v>0</v>
      </c>
      <c r="O272" s="619">
        <f t="shared" si="36"/>
        <v>0</v>
      </c>
      <c r="P272" s="346"/>
      <c r="Q272" s="93"/>
      <c r="R272" s="94"/>
      <c r="S272" s="94"/>
      <c r="T272" s="330"/>
      <c r="U272" s="347"/>
      <c r="V272" s="92"/>
      <c r="W272" s="94"/>
      <c r="X272" s="95"/>
      <c r="Y272" s="95"/>
      <c r="Z272" s="95"/>
      <c r="AA272" s="94"/>
      <c r="AB272" s="346"/>
      <c r="AC272" s="93"/>
      <c r="AD272" s="94"/>
      <c r="AE272" s="94"/>
      <c r="AF272" s="330"/>
      <c r="AG272" s="347"/>
      <c r="AH272" s="92"/>
      <c r="AI272" s="94"/>
      <c r="AJ272" s="95"/>
      <c r="AK272" s="95"/>
      <c r="AL272" s="95"/>
      <c r="AM272" s="94"/>
      <c r="AN272" s="346"/>
      <c r="AO272" s="93"/>
      <c r="AP272" s="94"/>
      <c r="AQ272" s="94"/>
      <c r="AR272" s="330"/>
      <c r="AS272" s="347"/>
      <c r="AT272" s="92"/>
      <c r="AU272" s="94"/>
      <c r="AV272" s="95"/>
      <c r="AW272" s="95"/>
      <c r="AX272" s="95"/>
      <c r="AY272" s="94"/>
      <c r="AZ272" s="346"/>
      <c r="BA272" s="93"/>
      <c r="BB272" s="94"/>
      <c r="BC272" s="94"/>
      <c r="BD272" s="330"/>
      <c r="BE272" s="347"/>
      <c r="BF272" s="92"/>
      <c r="BG272" s="94"/>
      <c r="BH272" s="95"/>
      <c r="BI272" s="95"/>
      <c r="BJ272" s="95"/>
      <c r="BK272" s="94"/>
      <c r="BL272" s="346"/>
      <c r="BM272" s="93"/>
      <c r="BN272" s="94"/>
      <c r="BO272" s="94"/>
      <c r="BP272" s="330"/>
      <c r="BQ272" s="347"/>
      <c r="BR272" s="92"/>
      <c r="BS272" s="94"/>
      <c r="BT272" s="95"/>
      <c r="BU272" s="95"/>
      <c r="BV272" s="95"/>
      <c r="BW272" s="94"/>
      <c r="BX272" s="346"/>
      <c r="BY272" s="93"/>
      <c r="BZ272" s="94"/>
      <c r="CA272" s="94"/>
      <c r="CB272" s="330"/>
      <c r="CC272" s="347"/>
      <c r="CD272" s="92"/>
      <c r="CE272" s="94"/>
      <c r="CF272" s="95"/>
      <c r="CG272" s="95"/>
      <c r="CH272" s="95"/>
      <c r="CI272" s="94"/>
    </row>
    <row r="273" spans="1:87" x14ac:dyDescent="0.2">
      <c r="A273" s="8">
        <v>264</v>
      </c>
      <c r="B273" s="1125">
        <f>'Membership Record'!B274</f>
        <v>0</v>
      </c>
      <c r="C273" s="1125"/>
      <c r="D273" s="87">
        <f>'Membership Record'!G274+'Membership Record'!P274</f>
        <v>0</v>
      </c>
      <c r="E273" s="350">
        <f t="shared" si="31"/>
        <v>0</v>
      </c>
      <c r="F273" s="614">
        <f>'Membership Record'!H274+'Membership Record'!Q274</f>
        <v>0</v>
      </c>
      <c r="G273" s="615">
        <f t="shared" si="32"/>
        <v>0</v>
      </c>
      <c r="H273" s="614">
        <f>'Membership Record'!I274+'Membership Record'!R274</f>
        <v>0</v>
      </c>
      <c r="I273" s="616">
        <f t="shared" si="33"/>
        <v>0</v>
      </c>
      <c r="J273" s="614">
        <f>'Membership Record'!J274+'Membership Record'!S274</f>
        <v>0</v>
      </c>
      <c r="K273" s="618">
        <f t="shared" si="34"/>
        <v>0</v>
      </c>
      <c r="L273" s="618">
        <f>'Membership Record'!K274+'Membership Record'!T274</f>
        <v>0</v>
      </c>
      <c r="M273" s="615">
        <f t="shared" si="35"/>
        <v>0</v>
      </c>
      <c r="N273" s="614">
        <f>'Membership Record'!L274+'Membership Record'!U274</f>
        <v>0</v>
      </c>
      <c r="O273" s="619">
        <f t="shared" si="36"/>
        <v>0</v>
      </c>
      <c r="P273" s="346"/>
      <c r="Q273" s="93"/>
      <c r="R273" s="94"/>
      <c r="S273" s="94"/>
      <c r="T273" s="330"/>
      <c r="U273" s="347"/>
      <c r="V273" s="92"/>
      <c r="W273" s="94"/>
      <c r="X273" s="95"/>
      <c r="Y273" s="95"/>
      <c r="Z273" s="95"/>
      <c r="AA273" s="94"/>
      <c r="AB273" s="346"/>
      <c r="AC273" s="93"/>
      <c r="AD273" s="94"/>
      <c r="AE273" s="94"/>
      <c r="AF273" s="330"/>
      <c r="AG273" s="347"/>
      <c r="AH273" s="92"/>
      <c r="AI273" s="94"/>
      <c r="AJ273" s="95"/>
      <c r="AK273" s="95"/>
      <c r="AL273" s="95"/>
      <c r="AM273" s="94"/>
      <c r="AN273" s="346"/>
      <c r="AO273" s="93"/>
      <c r="AP273" s="94"/>
      <c r="AQ273" s="94"/>
      <c r="AR273" s="330"/>
      <c r="AS273" s="347"/>
      <c r="AT273" s="92"/>
      <c r="AU273" s="94"/>
      <c r="AV273" s="95"/>
      <c r="AW273" s="95"/>
      <c r="AX273" s="95"/>
      <c r="AY273" s="94"/>
      <c r="AZ273" s="346"/>
      <c r="BA273" s="93"/>
      <c r="BB273" s="94"/>
      <c r="BC273" s="94"/>
      <c r="BD273" s="330"/>
      <c r="BE273" s="347"/>
      <c r="BF273" s="92"/>
      <c r="BG273" s="94"/>
      <c r="BH273" s="95"/>
      <c r="BI273" s="95"/>
      <c r="BJ273" s="95"/>
      <c r="BK273" s="94"/>
      <c r="BL273" s="346"/>
      <c r="BM273" s="93"/>
      <c r="BN273" s="94"/>
      <c r="BO273" s="94"/>
      <c r="BP273" s="330"/>
      <c r="BQ273" s="347"/>
      <c r="BR273" s="92"/>
      <c r="BS273" s="94"/>
      <c r="BT273" s="95"/>
      <c r="BU273" s="95"/>
      <c r="BV273" s="95"/>
      <c r="BW273" s="94"/>
      <c r="BX273" s="346"/>
      <c r="BY273" s="93"/>
      <c r="BZ273" s="94"/>
      <c r="CA273" s="94"/>
      <c r="CB273" s="330"/>
      <c r="CC273" s="347"/>
      <c r="CD273" s="92"/>
      <c r="CE273" s="94"/>
      <c r="CF273" s="95"/>
      <c r="CG273" s="95"/>
      <c r="CH273" s="95"/>
      <c r="CI273" s="94"/>
    </row>
    <row r="274" spans="1:87" x14ac:dyDescent="0.2">
      <c r="A274" s="8">
        <v>265</v>
      </c>
      <c r="B274" s="1125">
        <f>'Membership Record'!B275</f>
        <v>0</v>
      </c>
      <c r="C274" s="1125"/>
      <c r="D274" s="87">
        <f>'Membership Record'!G275+'Membership Record'!P275</f>
        <v>0</v>
      </c>
      <c r="E274" s="350">
        <f t="shared" si="31"/>
        <v>0</v>
      </c>
      <c r="F274" s="614">
        <f>'Membership Record'!H275+'Membership Record'!Q275</f>
        <v>0</v>
      </c>
      <c r="G274" s="615">
        <f t="shared" si="32"/>
        <v>0</v>
      </c>
      <c r="H274" s="614">
        <f>'Membership Record'!I275+'Membership Record'!R275</f>
        <v>0</v>
      </c>
      <c r="I274" s="616">
        <f t="shared" si="33"/>
        <v>0</v>
      </c>
      <c r="J274" s="614">
        <f>'Membership Record'!J275+'Membership Record'!S275</f>
        <v>0</v>
      </c>
      <c r="K274" s="618">
        <f t="shared" si="34"/>
        <v>0</v>
      </c>
      <c r="L274" s="618">
        <f>'Membership Record'!K275+'Membership Record'!T275</f>
        <v>0</v>
      </c>
      <c r="M274" s="615">
        <f t="shared" si="35"/>
        <v>0</v>
      </c>
      <c r="N274" s="614">
        <f>'Membership Record'!L275+'Membership Record'!U275</f>
        <v>0</v>
      </c>
      <c r="O274" s="619">
        <f t="shared" si="36"/>
        <v>0</v>
      </c>
      <c r="P274" s="346"/>
      <c r="Q274" s="93"/>
      <c r="R274" s="94"/>
      <c r="S274" s="94"/>
      <c r="T274" s="330"/>
      <c r="U274" s="347"/>
      <c r="V274" s="92"/>
      <c r="W274" s="94"/>
      <c r="X274" s="95"/>
      <c r="Y274" s="95"/>
      <c r="Z274" s="95"/>
      <c r="AA274" s="94"/>
      <c r="AB274" s="346"/>
      <c r="AC274" s="93"/>
      <c r="AD274" s="94"/>
      <c r="AE274" s="94"/>
      <c r="AF274" s="330"/>
      <c r="AG274" s="347"/>
      <c r="AH274" s="92"/>
      <c r="AI274" s="94"/>
      <c r="AJ274" s="95"/>
      <c r="AK274" s="95"/>
      <c r="AL274" s="95"/>
      <c r="AM274" s="94"/>
      <c r="AN274" s="346"/>
      <c r="AO274" s="93"/>
      <c r="AP274" s="94"/>
      <c r="AQ274" s="94"/>
      <c r="AR274" s="330"/>
      <c r="AS274" s="347"/>
      <c r="AT274" s="92"/>
      <c r="AU274" s="94"/>
      <c r="AV274" s="95"/>
      <c r="AW274" s="95"/>
      <c r="AX274" s="95"/>
      <c r="AY274" s="94"/>
      <c r="AZ274" s="346"/>
      <c r="BA274" s="93"/>
      <c r="BB274" s="94"/>
      <c r="BC274" s="94"/>
      <c r="BD274" s="330"/>
      <c r="BE274" s="347"/>
      <c r="BF274" s="92"/>
      <c r="BG274" s="94"/>
      <c r="BH274" s="95"/>
      <c r="BI274" s="95"/>
      <c r="BJ274" s="95"/>
      <c r="BK274" s="94"/>
      <c r="BL274" s="346"/>
      <c r="BM274" s="93"/>
      <c r="BN274" s="94"/>
      <c r="BO274" s="94"/>
      <c r="BP274" s="330"/>
      <c r="BQ274" s="347"/>
      <c r="BR274" s="92"/>
      <c r="BS274" s="94"/>
      <c r="BT274" s="95"/>
      <c r="BU274" s="95"/>
      <c r="BV274" s="95"/>
      <c r="BW274" s="94"/>
      <c r="BX274" s="346"/>
      <c r="BY274" s="93"/>
      <c r="BZ274" s="94"/>
      <c r="CA274" s="94"/>
      <c r="CB274" s="330"/>
      <c r="CC274" s="347"/>
      <c r="CD274" s="92"/>
      <c r="CE274" s="94"/>
      <c r="CF274" s="95"/>
      <c r="CG274" s="95"/>
      <c r="CH274" s="95"/>
      <c r="CI274" s="94"/>
    </row>
    <row r="275" spans="1:87" x14ac:dyDescent="0.2">
      <c r="A275" s="8">
        <v>266</v>
      </c>
      <c r="B275" s="1125">
        <f>'Membership Record'!B276</f>
        <v>0</v>
      </c>
      <c r="C275" s="1125"/>
      <c r="D275" s="87">
        <f>'Membership Record'!G276+'Membership Record'!P276</f>
        <v>0</v>
      </c>
      <c r="E275" s="350">
        <f t="shared" si="31"/>
        <v>0</v>
      </c>
      <c r="F275" s="614">
        <f>'Membership Record'!H276+'Membership Record'!Q276</f>
        <v>0</v>
      </c>
      <c r="G275" s="615">
        <f t="shared" si="32"/>
        <v>0</v>
      </c>
      <c r="H275" s="614">
        <f>'Membership Record'!I276+'Membership Record'!R276</f>
        <v>0</v>
      </c>
      <c r="I275" s="616">
        <f t="shared" si="33"/>
        <v>0</v>
      </c>
      <c r="J275" s="614">
        <f>'Membership Record'!J276+'Membership Record'!S276</f>
        <v>0</v>
      </c>
      <c r="K275" s="618">
        <f t="shared" si="34"/>
        <v>0</v>
      </c>
      <c r="L275" s="618">
        <f>'Membership Record'!K276+'Membership Record'!T276</f>
        <v>0</v>
      </c>
      <c r="M275" s="615">
        <f t="shared" si="35"/>
        <v>0</v>
      </c>
      <c r="N275" s="614">
        <f>'Membership Record'!L276+'Membership Record'!U276</f>
        <v>0</v>
      </c>
      <c r="O275" s="619">
        <f t="shared" si="36"/>
        <v>0</v>
      </c>
      <c r="P275" s="346"/>
      <c r="Q275" s="93"/>
      <c r="R275" s="94"/>
      <c r="S275" s="94"/>
      <c r="T275" s="330"/>
      <c r="U275" s="347"/>
      <c r="V275" s="92"/>
      <c r="W275" s="94"/>
      <c r="X275" s="95"/>
      <c r="Y275" s="95"/>
      <c r="Z275" s="95"/>
      <c r="AA275" s="94"/>
      <c r="AB275" s="346"/>
      <c r="AC275" s="93"/>
      <c r="AD275" s="94"/>
      <c r="AE275" s="94"/>
      <c r="AF275" s="330"/>
      <c r="AG275" s="347"/>
      <c r="AH275" s="92"/>
      <c r="AI275" s="94"/>
      <c r="AJ275" s="95"/>
      <c r="AK275" s="95"/>
      <c r="AL275" s="95"/>
      <c r="AM275" s="94"/>
      <c r="AN275" s="346"/>
      <c r="AO275" s="93"/>
      <c r="AP275" s="94"/>
      <c r="AQ275" s="94"/>
      <c r="AR275" s="330"/>
      <c r="AS275" s="347"/>
      <c r="AT275" s="92"/>
      <c r="AU275" s="94"/>
      <c r="AV275" s="95"/>
      <c r="AW275" s="95"/>
      <c r="AX275" s="95"/>
      <c r="AY275" s="94"/>
      <c r="AZ275" s="346"/>
      <c r="BA275" s="93"/>
      <c r="BB275" s="94"/>
      <c r="BC275" s="94"/>
      <c r="BD275" s="330"/>
      <c r="BE275" s="347"/>
      <c r="BF275" s="92"/>
      <c r="BG275" s="94"/>
      <c r="BH275" s="95"/>
      <c r="BI275" s="95"/>
      <c r="BJ275" s="95"/>
      <c r="BK275" s="94"/>
      <c r="BL275" s="346"/>
      <c r="BM275" s="93"/>
      <c r="BN275" s="94"/>
      <c r="BO275" s="94"/>
      <c r="BP275" s="330"/>
      <c r="BQ275" s="347"/>
      <c r="BR275" s="92"/>
      <c r="BS275" s="94"/>
      <c r="BT275" s="95"/>
      <c r="BU275" s="95"/>
      <c r="BV275" s="95"/>
      <c r="BW275" s="94"/>
      <c r="BX275" s="346"/>
      <c r="BY275" s="93"/>
      <c r="BZ275" s="94"/>
      <c r="CA275" s="94"/>
      <c r="CB275" s="330"/>
      <c r="CC275" s="347"/>
      <c r="CD275" s="92"/>
      <c r="CE275" s="94"/>
      <c r="CF275" s="95"/>
      <c r="CG275" s="95"/>
      <c r="CH275" s="95"/>
      <c r="CI275" s="94"/>
    </row>
    <row r="276" spans="1:87" x14ac:dyDescent="0.2">
      <c r="A276" s="8">
        <v>267</v>
      </c>
      <c r="B276" s="1125">
        <f>'Membership Record'!B277</f>
        <v>0</v>
      </c>
      <c r="C276" s="1125"/>
      <c r="D276" s="87">
        <f>'Membership Record'!G277+'Membership Record'!P277</f>
        <v>0</v>
      </c>
      <c r="E276" s="350">
        <f t="shared" si="31"/>
        <v>0</v>
      </c>
      <c r="F276" s="614">
        <f>'Membership Record'!H277+'Membership Record'!Q277</f>
        <v>0</v>
      </c>
      <c r="G276" s="615">
        <f t="shared" si="32"/>
        <v>0</v>
      </c>
      <c r="H276" s="614">
        <f>'Membership Record'!I277+'Membership Record'!R277</f>
        <v>0</v>
      </c>
      <c r="I276" s="616">
        <f t="shared" si="33"/>
        <v>0</v>
      </c>
      <c r="J276" s="614">
        <f>'Membership Record'!J277+'Membership Record'!S277</f>
        <v>0</v>
      </c>
      <c r="K276" s="618">
        <f t="shared" si="34"/>
        <v>0</v>
      </c>
      <c r="L276" s="618">
        <f>'Membership Record'!K277+'Membership Record'!T277</f>
        <v>0</v>
      </c>
      <c r="M276" s="615">
        <f t="shared" si="35"/>
        <v>0</v>
      </c>
      <c r="N276" s="614">
        <f>'Membership Record'!L277+'Membership Record'!U277</f>
        <v>0</v>
      </c>
      <c r="O276" s="619">
        <f t="shared" si="36"/>
        <v>0</v>
      </c>
      <c r="P276" s="346"/>
      <c r="Q276" s="93"/>
      <c r="R276" s="94"/>
      <c r="S276" s="94"/>
      <c r="T276" s="330"/>
      <c r="U276" s="347"/>
      <c r="V276" s="92"/>
      <c r="W276" s="94"/>
      <c r="X276" s="95"/>
      <c r="Y276" s="95"/>
      <c r="Z276" s="95"/>
      <c r="AA276" s="94"/>
      <c r="AB276" s="346"/>
      <c r="AC276" s="93"/>
      <c r="AD276" s="94"/>
      <c r="AE276" s="94"/>
      <c r="AF276" s="330"/>
      <c r="AG276" s="347"/>
      <c r="AH276" s="92"/>
      <c r="AI276" s="94"/>
      <c r="AJ276" s="95"/>
      <c r="AK276" s="95"/>
      <c r="AL276" s="95"/>
      <c r="AM276" s="94"/>
      <c r="AN276" s="346"/>
      <c r="AO276" s="93"/>
      <c r="AP276" s="94"/>
      <c r="AQ276" s="94"/>
      <c r="AR276" s="330"/>
      <c r="AS276" s="347"/>
      <c r="AT276" s="92"/>
      <c r="AU276" s="94"/>
      <c r="AV276" s="95"/>
      <c r="AW276" s="95"/>
      <c r="AX276" s="95"/>
      <c r="AY276" s="94"/>
      <c r="AZ276" s="346"/>
      <c r="BA276" s="93"/>
      <c r="BB276" s="94"/>
      <c r="BC276" s="94"/>
      <c r="BD276" s="330"/>
      <c r="BE276" s="347"/>
      <c r="BF276" s="92"/>
      <c r="BG276" s="94"/>
      <c r="BH276" s="95"/>
      <c r="BI276" s="95"/>
      <c r="BJ276" s="95"/>
      <c r="BK276" s="94"/>
      <c r="BL276" s="346"/>
      <c r="BM276" s="93"/>
      <c r="BN276" s="94"/>
      <c r="BO276" s="94"/>
      <c r="BP276" s="330"/>
      <c r="BQ276" s="347"/>
      <c r="BR276" s="92"/>
      <c r="BS276" s="94"/>
      <c r="BT276" s="95"/>
      <c r="BU276" s="95"/>
      <c r="BV276" s="95"/>
      <c r="BW276" s="94"/>
      <c r="BX276" s="346"/>
      <c r="BY276" s="93"/>
      <c r="BZ276" s="94"/>
      <c r="CA276" s="94"/>
      <c r="CB276" s="330"/>
      <c r="CC276" s="347"/>
      <c r="CD276" s="92"/>
      <c r="CE276" s="94"/>
      <c r="CF276" s="95"/>
      <c r="CG276" s="95"/>
      <c r="CH276" s="95"/>
      <c r="CI276" s="94"/>
    </row>
    <row r="277" spans="1:87" x14ac:dyDescent="0.2">
      <c r="A277" s="8">
        <v>268</v>
      </c>
      <c r="B277" s="1125">
        <f>'Membership Record'!B278</f>
        <v>0</v>
      </c>
      <c r="C277" s="1125"/>
      <c r="D277" s="87">
        <f>'Membership Record'!G278+'Membership Record'!P278</f>
        <v>0</v>
      </c>
      <c r="E277" s="350">
        <f t="shared" si="31"/>
        <v>0</v>
      </c>
      <c r="F277" s="614">
        <f>'Membership Record'!H278+'Membership Record'!Q278</f>
        <v>0</v>
      </c>
      <c r="G277" s="615">
        <f t="shared" si="32"/>
        <v>0</v>
      </c>
      <c r="H277" s="614">
        <f>'Membership Record'!I278+'Membership Record'!R278</f>
        <v>0</v>
      </c>
      <c r="I277" s="616">
        <f t="shared" si="33"/>
        <v>0</v>
      </c>
      <c r="J277" s="614">
        <f>'Membership Record'!J278+'Membership Record'!S278</f>
        <v>0</v>
      </c>
      <c r="K277" s="618">
        <f t="shared" si="34"/>
        <v>0</v>
      </c>
      <c r="L277" s="618">
        <f>'Membership Record'!K278+'Membership Record'!T278</f>
        <v>0</v>
      </c>
      <c r="M277" s="615">
        <f t="shared" si="35"/>
        <v>0</v>
      </c>
      <c r="N277" s="614">
        <f>'Membership Record'!L278+'Membership Record'!U278</f>
        <v>0</v>
      </c>
      <c r="O277" s="619">
        <f t="shared" si="36"/>
        <v>0</v>
      </c>
      <c r="P277" s="346"/>
      <c r="Q277" s="93"/>
      <c r="R277" s="94"/>
      <c r="S277" s="94"/>
      <c r="T277" s="330"/>
      <c r="U277" s="347"/>
      <c r="V277" s="92"/>
      <c r="W277" s="94"/>
      <c r="X277" s="95"/>
      <c r="Y277" s="95"/>
      <c r="Z277" s="95"/>
      <c r="AA277" s="94"/>
      <c r="AB277" s="346"/>
      <c r="AC277" s="93"/>
      <c r="AD277" s="94"/>
      <c r="AE277" s="94"/>
      <c r="AF277" s="330"/>
      <c r="AG277" s="347"/>
      <c r="AH277" s="92"/>
      <c r="AI277" s="94"/>
      <c r="AJ277" s="95"/>
      <c r="AK277" s="95"/>
      <c r="AL277" s="95"/>
      <c r="AM277" s="94"/>
      <c r="AN277" s="346"/>
      <c r="AO277" s="93"/>
      <c r="AP277" s="94"/>
      <c r="AQ277" s="94"/>
      <c r="AR277" s="330"/>
      <c r="AS277" s="347"/>
      <c r="AT277" s="92"/>
      <c r="AU277" s="94"/>
      <c r="AV277" s="95"/>
      <c r="AW277" s="95"/>
      <c r="AX277" s="95"/>
      <c r="AY277" s="94"/>
      <c r="AZ277" s="346"/>
      <c r="BA277" s="93"/>
      <c r="BB277" s="94"/>
      <c r="BC277" s="94"/>
      <c r="BD277" s="330"/>
      <c r="BE277" s="347"/>
      <c r="BF277" s="92"/>
      <c r="BG277" s="94"/>
      <c r="BH277" s="95"/>
      <c r="BI277" s="95"/>
      <c r="BJ277" s="95"/>
      <c r="BK277" s="94"/>
      <c r="BL277" s="346"/>
      <c r="BM277" s="93"/>
      <c r="BN277" s="94"/>
      <c r="BO277" s="94"/>
      <c r="BP277" s="330"/>
      <c r="BQ277" s="347"/>
      <c r="BR277" s="92"/>
      <c r="BS277" s="94"/>
      <c r="BT277" s="95"/>
      <c r="BU277" s="95"/>
      <c r="BV277" s="95"/>
      <c r="BW277" s="94"/>
      <c r="BX277" s="346"/>
      <c r="BY277" s="93"/>
      <c r="BZ277" s="94"/>
      <c r="CA277" s="94"/>
      <c r="CB277" s="330"/>
      <c r="CC277" s="347"/>
      <c r="CD277" s="92"/>
      <c r="CE277" s="94"/>
      <c r="CF277" s="95"/>
      <c r="CG277" s="95"/>
      <c r="CH277" s="95"/>
      <c r="CI277" s="94"/>
    </row>
    <row r="278" spans="1:87" x14ac:dyDescent="0.2">
      <c r="A278" s="8">
        <v>269</v>
      </c>
      <c r="B278" s="1125">
        <f>'Membership Record'!B279</f>
        <v>0</v>
      </c>
      <c r="C278" s="1125"/>
      <c r="D278" s="87">
        <f>'Membership Record'!G279+'Membership Record'!P279</f>
        <v>0</v>
      </c>
      <c r="E278" s="350">
        <f t="shared" si="31"/>
        <v>0</v>
      </c>
      <c r="F278" s="614">
        <f>'Membership Record'!H279+'Membership Record'!Q279</f>
        <v>0</v>
      </c>
      <c r="G278" s="615">
        <f t="shared" si="32"/>
        <v>0</v>
      </c>
      <c r="H278" s="614">
        <f>'Membership Record'!I279+'Membership Record'!R279</f>
        <v>0</v>
      </c>
      <c r="I278" s="616">
        <f t="shared" si="33"/>
        <v>0</v>
      </c>
      <c r="J278" s="614">
        <f>'Membership Record'!J279+'Membership Record'!S279</f>
        <v>0</v>
      </c>
      <c r="K278" s="618">
        <f t="shared" si="34"/>
        <v>0</v>
      </c>
      <c r="L278" s="618">
        <f>'Membership Record'!K279+'Membership Record'!T279</f>
        <v>0</v>
      </c>
      <c r="M278" s="615">
        <f t="shared" si="35"/>
        <v>0</v>
      </c>
      <c r="N278" s="614">
        <f>'Membership Record'!L279+'Membership Record'!U279</f>
        <v>0</v>
      </c>
      <c r="O278" s="619">
        <f t="shared" si="36"/>
        <v>0</v>
      </c>
      <c r="P278" s="346"/>
      <c r="Q278" s="93"/>
      <c r="R278" s="94"/>
      <c r="S278" s="94"/>
      <c r="T278" s="330"/>
      <c r="U278" s="347"/>
      <c r="V278" s="92"/>
      <c r="W278" s="94"/>
      <c r="X278" s="95"/>
      <c r="Y278" s="95"/>
      <c r="Z278" s="95"/>
      <c r="AA278" s="94"/>
      <c r="AB278" s="346"/>
      <c r="AC278" s="93"/>
      <c r="AD278" s="94"/>
      <c r="AE278" s="94"/>
      <c r="AF278" s="330"/>
      <c r="AG278" s="347"/>
      <c r="AH278" s="92"/>
      <c r="AI278" s="94"/>
      <c r="AJ278" s="95"/>
      <c r="AK278" s="95"/>
      <c r="AL278" s="95"/>
      <c r="AM278" s="94"/>
      <c r="AN278" s="346"/>
      <c r="AO278" s="93"/>
      <c r="AP278" s="94"/>
      <c r="AQ278" s="94"/>
      <c r="AR278" s="330"/>
      <c r="AS278" s="347"/>
      <c r="AT278" s="92"/>
      <c r="AU278" s="94"/>
      <c r="AV278" s="95"/>
      <c r="AW278" s="95"/>
      <c r="AX278" s="95"/>
      <c r="AY278" s="94"/>
      <c r="AZ278" s="346"/>
      <c r="BA278" s="93"/>
      <c r="BB278" s="94"/>
      <c r="BC278" s="94"/>
      <c r="BD278" s="330"/>
      <c r="BE278" s="347"/>
      <c r="BF278" s="92"/>
      <c r="BG278" s="94"/>
      <c r="BH278" s="95"/>
      <c r="BI278" s="95"/>
      <c r="BJ278" s="95"/>
      <c r="BK278" s="94"/>
      <c r="BL278" s="346"/>
      <c r="BM278" s="93"/>
      <c r="BN278" s="94"/>
      <c r="BO278" s="94"/>
      <c r="BP278" s="330"/>
      <c r="BQ278" s="347"/>
      <c r="BR278" s="92"/>
      <c r="BS278" s="94"/>
      <c r="BT278" s="95"/>
      <c r="BU278" s="95"/>
      <c r="BV278" s="95"/>
      <c r="BW278" s="94"/>
      <c r="BX278" s="346"/>
      <c r="BY278" s="93"/>
      <c r="BZ278" s="94"/>
      <c r="CA278" s="94"/>
      <c r="CB278" s="330"/>
      <c r="CC278" s="347"/>
      <c r="CD278" s="92"/>
      <c r="CE278" s="94"/>
      <c r="CF278" s="95"/>
      <c r="CG278" s="95"/>
      <c r="CH278" s="95"/>
      <c r="CI278" s="94"/>
    </row>
    <row r="279" spans="1:87" x14ac:dyDescent="0.2">
      <c r="A279" s="8">
        <v>270</v>
      </c>
      <c r="B279" s="1125">
        <f>'Membership Record'!B280</f>
        <v>0</v>
      </c>
      <c r="C279" s="1125"/>
      <c r="D279" s="87">
        <f>'Membership Record'!G280+'Membership Record'!P280</f>
        <v>0</v>
      </c>
      <c r="E279" s="350">
        <f t="shared" si="31"/>
        <v>0</v>
      </c>
      <c r="F279" s="614">
        <f>'Membership Record'!H280+'Membership Record'!Q280</f>
        <v>0</v>
      </c>
      <c r="G279" s="615">
        <f t="shared" si="32"/>
        <v>0</v>
      </c>
      <c r="H279" s="614">
        <f>'Membership Record'!I280+'Membership Record'!R280</f>
        <v>0</v>
      </c>
      <c r="I279" s="616">
        <f t="shared" si="33"/>
        <v>0</v>
      </c>
      <c r="J279" s="614">
        <f>'Membership Record'!J280+'Membership Record'!S280</f>
        <v>0</v>
      </c>
      <c r="K279" s="618">
        <f t="shared" si="34"/>
        <v>0</v>
      </c>
      <c r="L279" s="618">
        <f>'Membership Record'!K280+'Membership Record'!T280</f>
        <v>0</v>
      </c>
      <c r="M279" s="615">
        <f t="shared" si="35"/>
        <v>0</v>
      </c>
      <c r="N279" s="614">
        <f>'Membership Record'!L280+'Membership Record'!U280</f>
        <v>0</v>
      </c>
      <c r="O279" s="619">
        <f t="shared" si="36"/>
        <v>0</v>
      </c>
      <c r="P279" s="346"/>
      <c r="Q279" s="93"/>
      <c r="R279" s="94"/>
      <c r="S279" s="94"/>
      <c r="T279" s="330"/>
      <c r="U279" s="347"/>
      <c r="V279" s="92"/>
      <c r="W279" s="94"/>
      <c r="X279" s="95"/>
      <c r="Y279" s="95"/>
      <c r="Z279" s="95"/>
      <c r="AA279" s="94"/>
      <c r="AB279" s="346"/>
      <c r="AC279" s="93"/>
      <c r="AD279" s="94"/>
      <c r="AE279" s="94"/>
      <c r="AF279" s="330"/>
      <c r="AG279" s="347"/>
      <c r="AH279" s="92"/>
      <c r="AI279" s="94"/>
      <c r="AJ279" s="95"/>
      <c r="AK279" s="95"/>
      <c r="AL279" s="95"/>
      <c r="AM279" s="94"/>
      <c r="AN279" s="346"/>
      <c r="AO279" s="93"/>
      <c r="AP279" s="94"/>
      <c r="AQ279" s="94"/>
      <c r="AR279" s="330"/>
      <c r="AS279" s="347"/>
      <c r="AT279" s="92"/>
      <c r="AU279" s="94"/>
      <c r="AV279" s="95"/>
      <c r="AW279" s="95"/>
      <c r="AX279" s="95"/>
      <c r="AY279" s="94"/>
      <c r="AZ279" s="346"/>
      <c r="BA279" s="93"/>
      <c r="BB279" s="94"/>
      <c r="BC279" s="94"/>
      <c r="BD279" s="330"/>
      <c r="BE279" s="347"/>
      <c r="BF279" s="92"/>
      <c r="BG279" s="94"/>
      <c r="BH279" s="95"/>
      <c r="BI279" s="95"/>
      <c r="BJ279" s="95"/>
      <c r="BK279" s="94"/>
      <c r="BL279" s="346"/>
      <c r="BM279" s="93"/>
      <c r="BN279" s="94"/>
      <c r="BO279" s="94"/>
      <c r="BP279" s="330"/>
      <c r="BQ279" s="347"/>
      <c r="BR279" s="92"/>
      <c r="BS279" s="94"/>
      <c r="BT279" s="95"/>
      <c r="BU279" s="95"/>
      <c r="BV279" s="95"/>
      <c r="BW279" s="94"/>
      <c r="BX279" s="346"/>
      <c r="BY279" s="93"/>
      <c r="BZ279" s="94"/>
      <c r="CA279" s="94"/>
      <c r="CB279" s="330"/>
      <c r="CC279" s="347"/>
      <c r="CD279" s="92"/>
      <c r="CE279" s="94"/>
      <c r="CF279" s="95"/>
      <c r="CG279" s="95"/>
      <c r="CH279" s="95"/>
      <c r="CI279" s="94"/>
    </row>
    <row r="280" spans="1:87" x14ac:dyDescent="0.2">
      <c r="A280" s="8">
        <v>271</v>
      </c>
      <c r="B280" s="1125">
        <f>'Membership Record'!B281</f>
        <v>0</v>
      </c>
      <c r="C280" s="1125"/>
      <c r="D280" s="87">
        <f>'Membership Record'!G281+'Membership Record'!P281</f>
        <v>0</v>
      </c>
      <c r="E280" s="350">
        <f t="shared" si="31"/>
        <v>0</v>
      </c>
      <c r="F280" s="614">
        <f>'Membership Record'!H281+'Membership Record'!Q281</f>
        <v>0</v>
      </c>
      <c r="G280" s="615">
        <f t="shared" si="32"/>
        <v>0</v>
      </c>
      <c r="H280" s="614">
        <f>'Membership Record'!I281+'Membership Record'!R281</f>
        <v>0</v>
      </c>
      <c r="I280" s="616">
        <f t="shared" si="33"/>
        <v>0</v>
      </c>
      <c r="J280" s="614">
        <f>'Membership Record'!J281+'Membership Record'!S281</f>
        <v>0</v>
      </c>
      <c r="K280" s="618">
        <f t="shared" si="34"/>
        <v>0</v>
      </c>
      <c r="L280" s="618">
        <f>'Membership Record'!K281+'Membership Record'!T281</f>
        <v>0</v>
      </c>
      <c r="M280" s="615">
        <f t="shared" si="35"/>
        <v>0</v>
      </c>
      <c r="N280" s="614">
        <f>'Membership Record'!L281+'Membership Record'!U281</f>
        <v>0</v>
      </c>
      <c r="O280" s="619">
        <f t="shared" si="36"/>
        <v>0</v>
      </c>
      <c r="P280" s="346"/>
      <c r="Q280" s="93"/>
      <c r="R280" s="94"/>
      <c r="S280" s="94"/>
      <c r="T280" s="330"/>
      <c r="U280" s="347"/>
      <c r="V280" s="92"/>
      <c r="W280" s="94"/>
      <c r="X280" s="95"/>
      <c r="Y280" s="95"/>
      <c r="Z280" s="95"/>
      <c r="AA280" s="94"/>
      <c r="AB280" s="346"/>
      <c r="AC280" s="93"/>
      <c r="AD280" s="94"/>
      <c r="AE280" s="94"/>
      <c r="AF280" s="330"/>
      <c r="AG280" s="347"/>
      <c r="AH280" s="92"/>
      <c r="AI280" s="94"/>
      <c r="AJ280" s="95"/>
      <c r="AK280" s="95"/>
      <c r="AL280" s="95"/>
      <c r="AM280" s="94"/>
      <c r="AN280" s="346"/>
      <c r="AO280" s="93"/>
      <c r="AP280" s="94"/>
      <c r="AQ280" s="94"/>
      <c r="AR280" s="330"/>
      <c r="AS280" s="347"/>
      <c r="AT280" s="92"/>
      <c r="AU280" s="94"/>
      <c r="AV280" s="95"/>
      <c r="AW280" s="95"/>
      <c r="AX280" s="95"/>
      <c r="AY280" s="94"/>
      <c r="AZ280" s="346"/>
      <c r="BA280" s="93"/>
      <c r="BB280" s="94"/>
      <c r="BC280" s="94"/>
      <c r="BD280" s="330"/>
      <c r="BE280" s="347"/>
      <c r="BF280" s="92"/>
      <c r="BG280" s="94"/>
      <c r="BH280" s="95"/>
      <c r="BI280" s="95"/>
      <c r="BJ280" s="95"/>
      <c r="BK280" s="94"/>
      <c r="BL280" s="346"/>
      <c r="BM280" s="93"/>
      <c r="BN280" s="94"/>
      <c r="BO280" s="94"/>
      <c r="BP280" s="330"/>
      <c r="BQ280" s="347"/>
      <c r="BR280" s="92"/>
      <c r="BS280" s="94"/>
      <c r="BT280" s="95"/>
      <c r="BU280" s="95"/>
      <c r="BV280" s="95"/>
      <c r="BW280" s="94"/>
      <c r="BX280" s="346"/>
      <c r="BY280" s="93"/>
      <c r="BZ280" s="94"/>
      <c r="CA280" s="94"/>
      <c r="CB280" s="330"/>
      <c r="CC280" s="347"/>
      <c r="CD280" s="92"/>
      <c r="CE280" s="94"/>
      <c r="CF280" s="95"/>
      <c r="CG280" s="95"/>
      <c r="CH280" s="95"/>
      <c r="CI280" s="94"/>
    </row>
    <row r="281" spans="1:87" x14ac:dyDescent="0.2">
      <c r="A281" s="8">
        <v>272</v>
      </c>
      <c r="B281" s="1125">
        <f>'Membership Record'!B282</f>
        <v>0</v>
      </c>
      <c r="C281" s="1125"/>
      <c r="D281" s="87">
        <f>'Membership Record'!G282+'Membership Record'!P282</f>
        <v>0</v>
      </c>
      <c r="E281" s="350">
        <f t="shared" si="31"/>
        <v>0</v>
      </c>
      <c r="F281" s="614">
        <f>'Membership Record'!H282+'Membership Record'!Q282</f>
        <v>0</v>
      </c>
      <c r="G281" s="615">
        <f t="shared" si="32"/>
        <v>0</v>
      </c>
      <c r="H281" s="614">
        <f>'Membership Record'!I282+'Membership Record'!R282</f>
        <v>0</v>
      </c>
      <c r="I281" s="616">
        <f t="shared" si="33"/>
        <v>0</v>
      </c>
      <c r="J281" s="614">
        <f>'Membership Record'!J282+'Membership Record'!S282</f>
        <v>0</v>
      </c>
      <c r="K281" s="618">
        <f t="shared" si="34"/>
        <v>0</v>
      </c>
      <c r="L281" s="618">
        <f>'Membership Record'!K282+'Membership Record'!T282</f>
        <v>0</v>
      </c>
      <c r="M281" s="615">
        <f t="shared" si="35"/>
        <v>0</v>
      </c>
      <c r="N281" s="614">
        <f>'Membership Record'!L282+'Membership Record'!U282</f>
        <v>0</v>
      </c>
      <c r="O281" s="619">
        <f t="shared" si="36"/>
        <v>0</v>
      </c>
      <c r="P281" s="346"/>
      <c r="Q281" s="93"/>
      <c r="R281" s="94"/>
      <c r="S281" s="94"/>
      <c r="T281" s="330"/>
      <c r="U281" s="347"/>
      <c r="V281" s="92"/>
      <c r="W281" s="94"/>
      <c r="X281" s="95"/>
      <c r="Y281" s="95"/>
      <c r="Z281" s="95"/>
      <c r="AA281" s="94"/>
      <c r="AB281" s="346"/>
      <c r="AC281" s="93"/>
      <c r="AD281" s="94"/>
      <c r="AE281" s="94"/>
      <c r="AF281" s="330"/>
      <c r="AG281" s="347"/>
      <c r="AH281" s="92"/>
      <c r="AI281" s="94"/>
      <c r="AJ281" s="95"/>
      <c r="AK281" s="95"/>
      <c r="AL281" s="95"/>
      <c r="AM281" s="94"/>
      <c r="AN281" s="346"/>
      <c r="AO281" s="93"/>
      <c r="AP281" s="94"/>
      <c r="AQ281" s="94"/>
      <c r="AR281" s="330"/>
      <c r="AS281" s="347"/>
      <c r="AT281" s="92"/>
      <c r="AU281" s="94"/>
      <c r="AV281" s="95"/>
      <c r="AW281" s="95"/>
      <c r="AX281" s="95"/>
      <c r="AY281" s="94"/>
      <c r="AZ281" s="346"/>
      <c r="BA281" s="93"/>
      <c r="BB281" s="94"/>
      <c r="BC281" s="94"/>
      <c r="BD281" s="330"/>
      <c r="BE281" s="347"/>
      <c r="BF281" s="92"/>
      <c r="BG281" s="94"/>
      <c r="BH281" s="95"/>
      <c r="BI281" s="95"/>
      <c r="BJ281" s="95"/>
      <c r="BK281" s="94"/>
      <c r="BL281" s="346"/>
      <c r="BM281" s="93"/>
      <c r="BN281" s="94"/>
      <c r="BO281" s="94"/>
      <c r="BP281" s="330"/>
      <c r="BQ281" s="347"/>
      <c r="BR281" s="92"/>
      <c r="BS281" s="94"/>
      <c r="BT281" s="95"/>
      <c r="BU281" s="95"/>
      <c r="BV281" s="95"/>
      <c r="BW281" s="94"/>
      <c r="BX281" s="346"/>
      <c r="BY281" s="93"/>
      <c r="BZ281" s="94"/>
      <c r="CA281" s="94"/>
      <c r="CB281" s="330"/>
      <c r="CC281" s="347"/>
      <c r="CD281" s="92"/>
      <c r="CE281" s="94"/>
      <c r="CF281" s="95"/>
      <c r="CG281" s="95"/>
      <c r="CH281" s="95"/>
      <c r="CI281" s="94"/>
    </row>
    <row r="282" spans="1:87" x14ac:dyDescent="0.2">
      <c r="A282" s="8">
        <v>273</v>
      </c>
      <c r="B282" s="1125">
        <f>'Membership Record'!B283</f>
        <v>0</v>
      </c>
      <c r="C282" s="1125"/>
      <c r="D282" s="87">
        <f>'Membership Record'!G283+'Membership Record'!P283</f>
        <v>0</v>
      </c>
      <c r="E282" s="350">
        <f t="shared" si="31"/>
        <v>0</v>
      </c>
      <c r="F282" s="614">
        <f>'Membership Record'!H283+'Membership Record'!Q283</f>
        <v>0</v>
      </c>
      <c r="G282" s="615">
        <f t="shared" si="32"/>
        <v>0</v>
      </c>
      <c r="H282" s="614">
        <f>'Membership Record'!I283+'Membership Record'!R283</f>
        <v>0</v>
      </c>
      <c r="I282" s="616">
        <f t="shared" si="33"/>
        <v>0</v>
      </c>
      <c r="J282" s="614">
        <f>'Membership Record'!J283+'Membership Record'!S283</f>
        <v>0</v>
      </c>
      <c r="K282" s="618">
        <f t="shared" si="34"/>
        <v>0</v>
      </c>
      <c r="L282" s="618">
        <f>'Membership Record'!K283+'Membership Record'!T283</f>
        <v>0</v>
      </c>
      <c r="M282" s="615">
        <f t="shared" si="35"/>
        <v>0</v>
      </c>
      <c r="N282" s="614">
        <f>'Membership Record'!L283+'Membership Record'!U283</f>
        <v>0</v>
      </c>
      <c r="O282" s="619">
        <f t="shared" si="36"/>
        <v>0</v>
      </c>
      <c r="P282" s="346"/>
      <c r="Q282" s="93"/>
      <c r="R282" s="94"/>
      <c r="S282" s="94"/>
      <c r="T282" s="330"/>
      <c r="U282" s="347"/>
      <c r="V282" s="92"/>
      <c r="W282" s="94"/>
      <c r="X282" s="95"/>
      <c r="Y282" s="95"/>
      <c r="Z282" s="95"/>
      <c r="AA282" s="94"/>
      <c r="AB282" s="346"/>
      <c r="AC282" s="93"/>
      <c r="AD282" s="94"/>
      <c r="AE282" s="94"/>
      <c r="AF282" s="330"/>
      <c r="AG282" s="347"/>
      <c r="AH282" s="92"/>
      <c r="AI282" s="94"/>
      <c r="AJ282" s="95"/>
      <c r="AK282" s="95"/>
      <c r="AL282" s="95"/>
      <c r="AM282" s="94"/>
      <c r="AN282" s="346"/>
      <c r="AO282" s="93"/>
      <c r="AP282" s="94"/>
      <c r="AQ282" s="94"/>
      <c r="AR282" s="330"/>
      <c r="AS282" s="347"/>
      <c r="AT282" s="92"/>
      <c r="AU282" s="94"/>
      <c r="AV282" s="95"/>
      <c r="AW282" s="95"/>
      <c r="AX282" s="95"/>
      <c r="AY282" s="94"/>
      <c r="AZ282" s="346"/>
      <c r="BA282" s="93"/>
      <c r="BB282" s="94"/>
      <c r="BC282" s="94"/>
      <c r="BD282" s="330"/>
      <c r="BE282" s="347"/>
      <c r="BF282" s="92"/>
      <c r="BG282" s="94"/>
      <c r="BH282" s="95"/>
      <c r="BI282" s="95"/>
      <c r="BJ282" s="95"/>
      <c r="BK282" s="94"/>
      <c r="BL282" s="346"/>
      <c r="BM282" s="93"/>
      <c r="BN282" s="94"/>
      <c r="BO282" s="94"/>
      <c r="BP282" s="330"/>
      <c r="BQ282" s="347"/>
      <c r="BR282" s="92"/>
      <c r="BS282" s="94"/>
      <c r="BT282" s="95"/>
      <c r="BU282" s="95"/>
      <c r="BV282" s="95"/>
      <c r="BW282" s="94"/>
      <c r="BX282" s="346"/>
      <c r="BY282" s="93"/>
      <c r="BZ282" s="94"/>
      <c r="CA282" s="94"/>
      <c r="CB282" s="330"/>
      <c r="CC282" s="347"/>
      <c r="CD282" s="92"/>
      <c r="CE282" s="94"/>
      <c r="CF282" s="95"/>
      <c r="CG282" s="95"/>
      <c r="CH282" s="95"/>
      <c r="CI282" s="94"/>
    </row>
    <row r="283" spans="1:87" x14ac:dyDescent="0.2">
      <c r="A283" s="8">
        <v>274</v>
      </c>
      <c r="B283" s="1125">
        <f>'Membership Record'!B284</f>
        <v>0</v>
      </c>
      <c r="C283" s="1125"/>
      <c r="D283" s="87">
        <f>'Membership Record'!G284+'Membership Record'!P284</f>
        <v>0</v>
      </c>
      <c r="E283" s="350">
        <f t="shared" si="31"/>
        <v>0</v>
      </c>
      <c r="F283" s="614">
        <f>'Membership Record'!H284+'Membership Record'!Q284</f>
        <v>0</v>
      </c>
      <c r="G283" s="615">
        <f t="shared" si="32"/>
        <v>0</v>
      </c>
      <c r="H283" s="614">
        <f>'Membership Record'!I284+'Membership Record'!R284</f>
        <v>0</v>
      </c>
      <c r="I283" s="616">
        <f t="shared" si="33"/>
        <v>0</v>
      </c>
      <c r="J283" s="614">
        <f>'Membership Record'!J284+'Membership Record'!S284</f>
        <v>0</v>
      </c>
      <c r="K283" s="618">
        <f t="shared" si="34"/>
        <v>0</v>
      </c>
      <c r="L283" s="618">
        <f>'Membership Record'!K284+'Membership Record'!T284</f>
        <v>0</v>
      </c>
      <c r="M283" s="615">
        <f t="shared" si="35"/>
        <v>0</v>
      </c>
      <c r="N283" s="614">
        <f>'Membership Record'!L284+'Membership Record'!U284</f>
        <v>0</v>
      </c>
      <c r="O283" s="619">
        <f t="shared" si="36"/>
        <v>0</v>
      </c>
      <c r="P283" s="346"/>
      <c r="Q283" s="93"/>
      <c r="R283" s="94"/>
      <c r="S283" s="94"/>
      <c r="T283" s="330"/>
      <c r="U283" s="347"/>
      <c r="V283" s="92"/>
      <c r="W283" s="94"/>
      <c r="X283" s="95"/>
      <c r="Y283" s="95"/>
      <c r="Z283" s="95"/>
      <c r="AA283" s="94"/>
      <c r="AB283" s="346"/>
      <c r="AC283" s="93"/>
      <c r="AD283" s="94"/>
      <c r="AE283" s="94"/>
      <c r="AF283" s="330"/>
      <c r="AG283" s="347"/>
      <c r="AH283" s="92"/>
      <c r="AI283" s="94"/>
      <c r="AJ283" s="95"/>
      <c r="AK283" s="95"/>
      <c r="AL283" s="95"/>
      <c r="AM283" s="94"/>
      <c r="AN283" s="346"/>
      <c r="AO283" s="93"/>
      <c r="AP283" s="94"/>
      <c r="AQ283" s="94"/>
      <c r="AR283" s="330"/>
      <c r="AS283" s="347"/>
      <c r="AT283" s="92"/>
      <c r="AU283" s="94"/>
      <c r="AV283" s="95"/>
      <c r="AW283" s="95"/>
      <c r="AX283" s="95"/>
      <c r="AY283" s="94"/>
      <c r="AZ283" s="346"/>
      <c r="BA283" s="93"/>
      <c r="BB283" s="94"/>
      <c r="BC283" s="94"/>
      <c r="BD283" s="330"/>
      <c r="BE283" s="347"/>
      <c r="BF283" s="92"/>
      <c r="BG283" s="94"/>
      <c r="BH283" s="95"/>
      <c r="BI283" s="95"/>
      <c r="BJ283" s="95"/>
      <c r="BK283" s="94"/>
      <c r="BL283" s="346"/>
      <c r="BM283" s="93"/>
      <c r="BN283" s="94"/>
      <c r="BO283" s="94"/>
      <c r="BP283" s="330"/>
      <c r="BQ283" s="347"/>
      <c r="BR283" s="92"/>
      <c r="BS283" s="94"/>
      <c r="BT283" s="95"/>
      <c r="BU283" s="95"/>
      <c r="BV283" s="95"/>
      <c r="BW283" s="94"/>
      <c r="BX283" s="346"/>
      <c r="BY283" s="93"/>
      <c r="BZ283" s="94"/>
      <c r="CA283" s="94"/>
      <c r="CB283" s="330"/>
      <c r="CC283" s="347"/>
      <c r="CD283" s="92"/>
      <c r="CE283" s="94"/>
      <c r="CF283" s="95"/>
      <c r="CG283" s="95"/>
      <c r="CH283" s="95"/>
      <c r="CI283" s="94"/>
    </row>
    <row r="284" spans="1:87" x14ac:dyDescent="0.2">
      <c r="A284" s="8">
        <v>275</v>
      </c>
      <c r="B284" s="1125">
        <f>'Membership Record'!B285</f>
        <v>0</v>
      </c>
      <c r="C284" s="1125"/>
      <c r="D284" s="87">
        <f>'Membership Record'!G285+'Membership Record'!P285</f>
        <v>0</v>
      </c>
      <c r="E284" s="350">
        <f t="shared" si="31"/>
        <v>0</v>
      </c>
      <c r="F284" s="614">
        <f>'Membership Record'!H285+'Membership Record'!Q285</f>
        <v>0</v>
      </c>
      <c r="G284" s="615">
        <f t="shared" si="32"/>
        <v>0</v>
      </c>
      <c r="H284" s="614">
        <f>'Membership Record'!I285+'Membership Record'!R285</f>
        <v>0</v>
      </c>
      <c r="I284" s="616">
        <f t="shared" si="33"/>
        <v>0</v>
      </c>
      <c r="J284" s="614">
        <f>'Membership Record'!J285+'Membership Record'!S285</f>
        <v>0</v>
      </c>
      <c r="K284" s="618">
        <f t="shared" si="34"/>
        <v>0</v>
      </c>
      <c r="L284" s="618">
        <f>'Membership Record'!K285+'Membership Record'!T285</f>
        <v>0</v>
      </c>
      <c r="M284" s="615">
        <f t="shared" si="35"/>
        <v>0</v>
      </c>
      <c r="N284" s="614">
        <f>'Membership Record'!L285+'Membership Record'!U285</f>
        <v>0</v>
      </c>
      <c r="O284" s="619">
        <f t="shared" si="36"/>
        <v>0</v>
      </c>
      <c r="P284" s="346"/>
      <c r="Q284" s="93"/>
      <c r="R284" s="94"/>
      <c r="S284" s="94"/>
      <c r="T284" s="330"/>
      <c r="U284" s="347"/>
      <c r="V284" s="92"/>
      <c r="W284" s="94"/>
      <c r="X284" s="95"/>
      <c r="Y284" s="95"/>
      <c r="Z284" s="95"/>
      <c r="AA284" s="94"/>
      <c r="AB284" s="346"/>
      <c r="AC284" s="93"/>
      <c r="AD284" s="94"/>
      <c r="AE284" s="94"/>
      <c r="AF284" s="330"/>
      <c r="AG284" s="347"/>
      <c r="AH284" s="92"/>
      <c r="AI284" s="94"/>
      <c r="AJ284" s="95"/>
      <c r="AK284" s="95"/>
      <c r="AL284" s="95"/>
      <c r="AM284" s="94"/>
      <c r="AN284" s="346"/>
      <c r="AO284" s="93"/>
      <c r="AP284" s="94"/>
      <c r="AQ284" s="94"/>
      <c r="AR284" s="330"/>
      <c r="AS284" s="347"/>
      <c r="AT284" s="92"/>
      <c r="AU284" s="94"/>
      <c r="AV284" s="95"/>
      <c r="AW284" s="95"/>
      <c r="AX284" s="95"/>
      <c r="AY284" s="94"/>
      <c r="AZ284" s="346"/>
      <c r="BA284" s="93"/>
      <c r="BB284" s="94"/>
      <c r="BC284" s="94"/>
      <c r="BD284" s="330"/>
      <c r="BE284" s="347"/>
      <c r="BF284" s="92"/>
      <c r="BG284" s="94"/>
      <c r="BH284" s="95"/>
      <c r="BI284" s="95"/>
      <c r="BJ284" s="95"/>
      <c r="BK284" s="94"/>
      <c r="BL284" s="346"/>
      <c r="BM284" s="93"/>
      <c r="BN284" s="94"/>
      <c r="BO284" s="94"/>
      <c r="BP284" s="330"/>
      <c r="BQ284" s="347"/>
      <c r="BR284" s="92"/>
      <c r="BS284" s="94"/>
      <c r="BT284" s="95"/>
      <c r="BU284" s="95"/>
      <c r="BV284" s="95"/>
      <c r="BW284" s="94"/>
      <c r="BX284" s="346"/>
      <c r="BY284" s="93"/>
      <c r="BZ284" s="94"/>
      <c r="CA284" s="94"/>
      <c r="CB284" s="330"/>
      <c r="CC284" s="347"/>
      <c r="CD284" s="92"/>
      <c r="CE284" s="94"/>
      <c r="CF284" s="95"/>
      <c r="CG284" s="95"/>
      <c r="CH284" s="95"/>
      <c r="CI284" s="94"/>
    </row>
    <row r="285" spans="1:87" x14ac:dyDescent="0.2">
      <c r="A285" s="8">
        <v>276</v>
      </c>
      <c r="B285" s="1125">
        <f>'Membership Record'!B286</f>
        <v>0</v>
      </c>
      <c r="C285" s="1125"/>
      <c r="D285" s="87">
        <f>'Membership Record'!G286+'Membership Record'!P286</f>
        <v>0</v>
      </c>
      <c r="E285" s="350">
        <f t="shared" si="31"/>
        <v>0</v>
      </c>
      <c r="F285" s="614">
        <f>'Membership Record'!H286+'Membership Record'!Q286</f>
        <v>0</v>
      </c>
      <c r="G285" s="615">
        <f t="shared" si="32"/>
        <v>0</v>
      </c>
      <c r="H285" s="614">
        <f>'Membership Record'!I286+'Membership Record'!R286</f>
        <v>0</v>
      </c>
      <c r="I285" s="616">
        <f t="shared" si="33"/>
        <v>0</v>
      </c>
      <c r="J285" s="614">
        <f>'Membership Record'!J286+'Membership Record'!S286</f>
        <v>0</v>
      </c>
      <c r="K285" s="618">
        <f t="shared" si="34"/>
        <v>0</v>
      </c>
      <c r="L285" s="618">
        <f>'Membership Record'!K286+'Membership Record'!T286</f>
        <v>0</v>
      </c>
      <c r="M285" s="615">
        <f t="shared" si="35"/>
        <v>0</v>
      </c>
      <c r="N285" s="614">
        <f>'Membership Record'!L286+'Membership Record'!U286</f>
        <v>0</v>
      </c>
      <c r="O285" s="619">
        <f t="shared" si="36"/>
        <v>0</v>
      </c>
      <c r="P285" s="346"/>
      <c r="Q285" s="93"/>
      <c r="R285" s="94"/>
      <c r="S285" s="94"/>
      <c r="T285" s="330"/>
      <c r="U285" s="347"/>
      <c r="V285" s="92"/>
      <c r="W285" s="94"/>
      <c r="X285" s="95"/>
      <c r="Y285" s="95"/>
      <c r="Z285" s="95"/>
      <c r="AA285" s="94"/>
      <c r="AB285" s="346"/>
      <c r="AC285" s="93"/>
      <c r="AD285" s="94"/>
      <c r="AE285" s="94"/>
      <c r="AF285" s="330"/>
      <c r="AG285" s="347"/>
      <c r="AH285" s="92"/>
      <c r="AI285" s="94"/>
      <c r="AJ285" s="95"/>
      <c r="AK285" s="95"/>
      <c r="AL285" s="95"/>
      <c r="AM285" s="94"/>
      <c r="AN285" s="346"/>
      <c r="AO285" s="93"/>
      <c r="AP285" s="94"/>
      <c r="AQ285" s="94"/>
      <c r="AR285" s="330"/>
      <c r="AS285" s="347"/>
      <c r="AT285" s="92"/>
      <c r="AU285" s="94"/>
      <c r="AV285" s="95"/>
      <c r="AW285" s="95"/>
      <c r="AX285" s="95"/>
      <c r="AY285" s="94"/>
      <c r="AZ285" s="346"/>
      <c r="BA285" s="93"/>
      <c r="BB285" s="94"/>
      <c r="BC285" s="94"/>
      <c r="BD285" s="330"/>
      <c r="BE285" s="347"/>
      <c r="BF285" s="92"/>
      <c r="BG285" s="94"/>
      <c r="BH285" s="95"/>
      <c r="BI285" s="95"/>
      <c r="BJ285" s="95"/>
      <c r="BK285" s="94"/>
      <c r="BL285" s="346"/>
      <c r="BM285" s="93"/>
      <c r="BN285" s="94"/>
      <c r="BO285" s="94"/>
      <c r="BP285" s="330"/>
      <c r="BQ285" s="347"/>
      <c r="BR285" s="92"/>
      <c r="BS285" s="94"/>
      <c r="BT285" s="95"/>
      <c r="BU285" s="95"/>
      <c r="BV285" s="95"/>
      <c r="BW285" s="94"/>
      <c r="BX285" s="346"/>
      <c r="BY285" s="93"/>
      <c r="BZ285" s="94"/>
      <c r="CA285" s="94"/>
      <c r="CB285" s="330"/>
      <c r="CC285" s="347"/>
      <c r="CD285" s="92"/>
      <c r="CE285" s="94"/>
      <c r="CF285" s="95"/>
      <c r="CG285" s="95"/>
      <c r="CH285" s="95"/>
      <c r="CI285" s="94"/>
    </row>
    <row r="286" spans="1:87" x14ac:dyDescent="0.2">
      <c r="A286" s="8">
        <v>277</v>
      </c>
      <c r="B286" s="1125">
        <f>'Membership Record'!B287</f>
        <v>0</v>
      </c>
      <c r="C286" s="1125"/>
      <c r="D286" s="87">
        <f>'Membership Record'!G287+'Membership Record'!P287</f>
        <v>0</v>
      </c>
      <c r="E286" s="350">
        <f t="shared" si="31"/>
        <v>0</v>
      </c>
      <c r="F286" s="614">
        <f>'Membership Record'!H287+'Membership Record'!Q287</f>
        <v>0</v>
      </c>
      <c r="G286" s="615">
        <f t="shared" si="32"/>
        <v>0</v>
      </c>
      <c r="H286" s="614">
        <f>'Membership Record'!I287+'Membership Record'!R287</f>
        <v>0</v>
      </c>
      <c r="I286" s="616">
        <f t="shared" si="33"/>
        <v>0</v>
      </c>
      <c r="J286" s="614">
        <f>'Membership Record'!J287+'Membership Record'!S287</f>
        <v>0</v>
      </c>
      <c r="K286" s="618">
        <f t="shared" si="34"/>
        <v>0</v>
      </c>
      <c r="L286" s="618">
        <f>'Membership Record'!K287+'Membership Record'!T287</f>
        <v>0</v>
      </c>
      <c r="M286" s="615">
        <f t="shared" si="35"/>
        <v>0</v>
      </c>
      <c r="N286" s="614">
        <f>'Membership Record'!L287+'Membership Record'!U287</f>
        <v>0</v>
      </c>
      <c r="O286" s="619">
        <f t="shared" si="36"/>
        <v>0</v>
      </c>
      <c r="P286" s="346"/>
      <c r="Q286" s="93"/>
      <c r="R286" s="94"/>
      <c r="S286" s="94"/>
      <c r="T286" s="330"/>
      <c r="U286" s="347"/>
      <c r="V286" s="92"/>
      <c r="W286" s="94"/>
      <c r="X286" s="95"/>
      <c r="Y286" s="95"/>
      <c r="Z286" s="95"/>
      <c r="AA286" s="94"/>
      <c r="AB286" s="346"/>
      <c r="AC286" s="93"/>
      <c r="AD286" s="94"/>
      <c r="AE286" s="94"/>
      <c r="AF286" s="330"/>
      <c r="AG286" s="347"/>
      <c r="AH286" s="92"/>
      <c r="AI286" s="94"/>
      <c r="AJ286" s="95"/>
      <c r="AK286" s="95"/>
      <c r="AL286" s="95"/>
      <c r="AM286" s="94"/>
      <c r="AN286" s="346"/>
      <c r="AO286" s="93"/>
      <c r="AP286" s="94"/>
      <c r="AQ286" s="94"/>
      <c r="AR286" s="330"/>
      <c r="AS286" s="347"/>
      <c r="AT286" s="92"/>
      <c r="AU286" s="94"/>
      <c r="AV286" s="95"/>
      <c r="AW286" s="95"/>
      <c r="AX286" s="95"/>
      <c r="AY286" s="94"/>
      <c r="AZ286" s="346"/>
      <c r="BA286" s="93"/>
      <c r="BB286" s="94"/>
      <c r="BC286" s="94"/>
      <c r="BD286" s="330"/>
      <c r="BE286" s="347"/>
      <c r="BF286" s="92"/>
      <c r="BG286" s="94"/>
      <c r="BH286" s="95"/>
      <c r="BI286" s="95"/>
      <c r="BJ286" s="95"/>
      <c r="BK286" s="94"/>
      <c r="BL286" s="346"/>
      <c r="BM286" s="93"/>
      <c r="BN286" s="94"/>
      <c r="BO286" s="94"/>
      <c r="BP286" s="330"/>
      <c r="BQ286" s="347"/>
      <c r="BR286" s="92"/>
      <c r="BS286" s="94"/>
      <c r="BT286" s="95"/>
      <c r="BU286" s="95"/>
      <c r="BV286" s="95"/>
      <c r="BW286" s="94"/>
      <c r="BX286" s="346"/>
      <c r="BY286" s="93"/>
      <c r="BZ286" s="94"/>
      <c r="CA286" s="94"/>
      <c r="CB286" s="330"/>
      <c r="CC286" s="347"/>
      <c r="CD286" s="92"/>
      <c r="CE286" s="94"/>
      <c r="CF286" s="95"/>
      <c r="CG286" s="95"/>
      <c r="CH286" s="95"/>
      <c r="CI286" s="94"/>
    </row>
    <row r="287" spans="1:87" x14ac:dyDescent="0.2">
      <c r="A287" s="8">
        <v>278</v>
      </c>
      <c r="B287" s="1125">
        <f>'Membership Record'!B288</f>
        <v>0</v>
      </c>
      <c r="C287" s="1125"/>
      <c r="D287" s="87">
        <f>'Membership Record'!G288+'Membership Record'!P288</f>
        <v>0</v>
      </c>
      <c r="E287" s="350">
        <f t="shared" si="31"/>
        <v>0</v>
      </c>
      <c r="F287" s="614">
        <f>'Membership Record'!H288+'Membership Record'!Q288</f>
        <v>0</v>
      </c>
      <c r="G287" s="615">
        <f t="shared" si="32"/>
        <v>0</v>
      </c>
      <c r="H287" s="614">
        <f>'Membership Record'!I288+'Membership Record'!R288</f>
        <v>0</v>
      </c>
      <c r="I287" s="616">
        <f t="shared" si="33"/>
        <v>0</v>
      </c>
      <c r="J287" s="614">
        <f>'Membership Record'!J288+'Membership Record'!S288</f>
        <v>0</v>
      </c>
      <c r="K287" s="618">
        <f t="shared" si="34"/>
        <v>0</v>
      </c>
      <c r="L287" s="618">
        <f>'Membership Record'!K288+'Membership Record'!T288</f>
        <v>0</v>
      </c>
      <c r="M287" s="615">
        <f t="shared" si="35"/>
        <v>0</v>
      </c>
      <c r="N287" s="614">
        <f>'Membership Record'!L288+'Membership Record'!U288</f>
        <v>0</v>
      </c>
      <c r="O287" s="619">
        <f t="shared" si="36"/>
        <v>0</v>
      </c>
      <c r="P287" s="346"/>
      <c r="Q287" s="93"/>
      <c r="R287" s="94"/>
      <c r="S287" s="94"/>
      <c r="T287" s="330"/>
      <c r="U287" s="347"/>
      <c r="V287" s="92"/>
      <c r="W287" s="94"/>
      <c r="X287" s="95"/>
      <c r="Y287" s="95"/>
      <c r="Z287" s="95"/>
      <c r="AA287" s="94"/>
      <c r="AB287" s="346"/>
      <c r="AC287" s="93"/>
      <c r="AD287" s="94"/>
      <c r="AE287" s="94"/>
      <c r="AF287" s="330"/>
      <c r="AG287" s="347"/>
      <c r="AH287" s="92"/>
      <c r="AI287" s="94"/>
      <c r="AJ287" s="95"/>
      <c r="AK287" s="95"/>
      <c r="AL287" s="95"/>
      <c r="AM287" s="94"/>
      <c r="AN287" s="346"/>
      <c r="AO287" s="93"/>
      <c r="AP287" s="94"/>
      <c r="AQ287" s="94"/>
      <c r="AR287" s="330"/>
      <c r="AS287" s="347"/>
      <c r="AT287" s="92"/>
      <c r="AU287" s="94"/>
      <c r="AV287" s="95"/>
      <c r="AW287" s="95"/>
      <c r="AX287" s="95"/>
      <c r="AY287" s="94"/>
      <c r="AZ287" s="346"/>
      <c r="BA287" s="93"/>
      <c r="BB287" s="94"/>
      <c r="BC287" s="94"/>
      <c r="BD287" s="330"/>
      <c r="BE287" s="347"/>
      <c r="BF287" s="92"/>
      <c r="BG287" s="94"/>
      <c r="BH287" s="95"/>
      <c r="BI287" s="95"/>
      <c r="BJ287" s="95"/>
      <c r="BK287" s="94"/>
      <c r="BL287" s="346"/>
      <c r="BM287" s="93"/>
      <c r="BN287" s="94"/>
      <c r="BO287" s="94"/>
      <c r="BP287" s="330"/>
      <c r="BQ287" s="347"/>
      <c r="BR287" s="92"/>
      <c r="BS287" s="94"/>
      <c r="BT287" s="95"/>
      <c r="BU287" s="95"/>
      <c r="BV287" s="95"/>
      <c r="BW287" s="94"/>
      <c r="BX287" s="346"/>
      <c r="BY287" s="93"/>
      <c r="BZ287" s="94"/>
      <c r="CA287" s="94"/>
      <c r="CB287" s="330"/>
      <c r="CC287" s="347"/>
      <c r="CD287" s="92"/>
      <c r="CE287" s="94"/>
      <c r="CF287" s="95"/>
      <c r="CG287" s="95"/>
      <c r="CH287" s="95"/>
      <c r="CI287" s="94"/>
    </row>
    <row r="288" spans="1:87" x14ac:dyDescent="0.2">
      <c r="A288" s="8">
        <v>279</v>
      </c>
      <c r="B288" s="1125">
        <f>'Membership Record'!B289</f>
        <v>0</v>
      </c>
      <c r="C288" s="1125"/>
      <c r="D288" s="87">
        <f>'Membership Record'!G289+'Membership Record'!P289</f>
        <v>0</v>
      </c>
      <c r="E288" s="350">
        <f t="shared" si="31"/>
        <v>0</v>
      </c>
      <c r="F288" s="614">
        <f>'Membership Record'!H289+'Membership Record'!Q289</f>
        <v>0</v>
      </c>
      <c r="G288" s="615">
        <f t="shared" si="32"/>
        <v>0</v>
      </c>
      <c r="H288" s="614">
        <f>'Membership Record'!I289+'Membership Record'!R289</f>
        <v>0</v>
      </c>
      <c r="I288" s="616">
        <f t="shared" si="33"/>
        <v>0</v>
      </c>
      <c r="J288" s="614">
        <f>'Membership Record'!J289+'Membership Record'!S289</f>
        <v>0</v>
      </c>
      <c r="K288" s="618">
        <f t="shared" si="34"/>
        <v>0</v>
      </c>
      <c r="L288" s="618">
        <f>'Membership Record'!K289+'Membership Record'!T289</f>
        <v>0</v>
      </c>
      <c r="M288" s="615">
        <f t="shared" si="35"/>
        <v>0</v>
      </c>
      <c r="N288" s="614">
        <f>'Membership Record'!L289+'Membership Record'!U289</f>
        <v>0</v>
      </c>
      <c r="O288" s="619">
        <f t="shared" si="36"/>
        <v>0</v>
      </c>
      <c r="P288" s="346"/>
      <c r="Q288" s="93"/>
      <c r="R288" s="94"/>
      <c r="S288" s="94"/>
      <c r="T288" s="330"/>
      <c r="U288" s="347"/>
      <c r="V288" s="92"/>
      <c r="W288" s="94"/>
      <c r="X288" s="95"/>
      <c r="Y288" s="95"/>
      <c r="Z288" s="95"/>
      <c r="AA288" s="94"/>
      <c r="AB288" s="346"/>
      <c r="AC288" s="93"/>
      <c r="AD288" s="94"/>
      <c r="AE288" s="94"/>
      <c r="AF288" s="330"/>
      <c r="AG288" s="347"/>
      <c r="AH288" s="92"/>
      <c r="AI288" s="94"/>
      <c r="AJ288" s="95"/>
      <c r="AK288" s="95"/>
      <c r="AL288" s="95"/>
      <c r="AM288" s="94"/>
      <c r="AN288" s="346"/>
      <c r="AO288" s="93"/>
      <c r="AP288" s="94"/>
      <c r="AQ288" s="94"/>
      <c r="AR288" s="330"/>
      <c r="AS288" s="347"/>
      <c r="AT288" s="92"/>
      <c r="AU288" s="94"/>
      <c r="AV288" s="95"/>
      <c r="AW288" s="95"/>
      <c r="AX288" s="95"/>
      <c r="AY288" s="94"/>
      <c r="AZ288" s="346"/>
      <c r="BA288" s="93"/>
      <c r="BB288" s="94"/>
      <c r="BC288" s="94"/>
      <c r="BD288" s="330"/>
      <c r="BE288" s="347"/>
      <c r="BF288" s="92"/>
      <c r="BG288" s="94"/>
      <c r="BH288" s="95"/>
      <c r="BI288" s="95"/>
      <c r="BJ288" s="95"/>
      <c r="BK288" s="94"/>
      <c r="BL288" s="346"/>
      <c r="BM288" s="93"/>
      <c r="BN288" s="94"/>
      <c r="BO288" s="94"/>
      <c r="BP288" s="330"/>
      <c r="BQ288" s="347"/>
      <c r="BR288" s="92"/>
      <c r="BS288" s="94"/>
      <c r="BT288" s="95"/>
      <c r="BU288" s="95"/>
      <c r="BV288" s="95"/>
      <c r="BW288" s="94"/>
      <c r="BX288" s="346"/>
      <c r="BY288" s="93"/>
      <c r="BZ288" s="94"/>
      <c r="CA288" s="94"/>
      <c r="CB288" s="330"/>
      <c r="CC288" s="347"/>
      <c r="CD288" s="92"/>
      <c r="CE288" s="94"/>
      <c r="CF288" s="95"/>
      <c r="CG288" s="95"/>
      <c r="CH288" s="95"/>
      <c r="CI288" s="94"/>
    </row>
    <row r="289" spans="1:87" x14ac:dyDescent="0.2">
      <c r="A289" s="8">
        <v>280</v>
      </c>
      <c r="B289" s="1125">
        <f>'Membership Record'!B290</f>
        <v>0</v>
      </c>
      <c r="C289" s="1125"/>
      <c r="D289" s="87">
        <f>'Membership Record'!G290+'Membership Record'!P290</f>
        <v>0</v>
      </c>
      <c r="E289" s="350">
        <f t="shared" si="31"/>
        <v>0</v>
      </c>
      <c r="F289" s="614">
        <f>'Membership Record'!H290+'Membership Record'!Q290</f>
        <v>0</v>
      </c>
      <c r="G289" s="615">
        <f t="shared" si="32"/>
        <v>0</v>
      </c>
      <c r="H289" s="614">
        <f>'Membership Record'!I290+'Membership Record'!R290</f>
        <v>0</v>
      </c>
      <c r="I289" s="616">
        <f t="shared" si="33"/>
        <v>0</v>
      </c>
      <c r="J289" s="614">
        <f>'Membership Record'!J290+'Membership Record'!S290</f>
        <v>0</v>
      </c>
      <c r="K289" s="618">
        <f t="shared" si="34"/>
        <v>0</v>
      </c>
      <c r="L289" s="618">
        <f>'Membership Record'!K290+'Membership Record'!T290</f>
        <v>0</v>
      </c>
      <c r="M289" s="615">
        <f t="shared" si="35"/>
        <v>0</v>
      </c>
      <c r="N289" s="614">
        <f>'Membership Record'!L290+'Membership Record'!U290</f>
        <v>0</v>
      </c>
      <c r="O289" s="619">
        <f t="shared" si="36"/>
        <v>0</v>
      </c>
      <c r="P289" s="346"/>
      <c r="Q289" s="93"/>
      <c r="R289" s="94"/>
      <c r="S289" s="94"/>
      <c r="T289" s="330"/>
      <c r="U289" s="347"/>
      <c r="V289" s="92"/>
      <c r="W289" s="94"/>
      <c r="X289" s="95"/>
      <c r="Y289" s="95"/>
      <c r="Z289" s="95"/>
      <c r="AA289" s="94"/>
      <c r="AB289" s="346"/>
      <c r="AC289" s="93"/>
      <c r="AD289" s="94"/>
      <c r="AE289" s="94"/>
      <c r="AF289" s="330"/>
      <c r="AG289" s="347"/>
      <c r="AH289" s="92"/>
      <c r="AI289" s="94"/>
      <c r="AJ289" s="95"/>
      <c r="AK289" s="95"/>
      <c r="AL289" s="95"/>
      <c r="AM289" s="94"/>
      <c r="AN289" s="346"/>
      <c r="AO289" s="93"/>
      <c r="AP289" s="94"/>
      <c r="AQ289" s="94"/>
      <c r="AR289" s="330"/>
      <c r="AS289" s="347"/>
      <c r="AT289" s="92"/>
      <c r="AU289" s="94"/>
      <c r="AV289" s="95"/>
      <c r="AW289" s="95"/>
      <c r="AX289" s="95"/>
      <c r="AY289" s="94"/>
      <c r="AZ289" s="346"/>
      <c r="BA289" s="93"/>
      <c r="BB289" s="94"/>
      <c r="BC289" s="94"/>
      <c r="BD289" s="330"/>
      <c r="BE289" s="347"/>
      <c r="BF289" s="92"/>
      <c r="BG289" s="94"/>
      <c r="BH289" s="95"/>
      <c r="BI289" s="95"/>
      <c r="BJ289" s="95"/>
      <c r="BK289" s="94"/>
      <c r="BL289" s="346"/>
      <c r="BM289" s="93"/>
      <c r="BN289" s="94"/>
      <c r="BO289" s="94"/>
      <c r="BP289" s="330"/>
      <c r="BQ289" s="347"/>
      <c r="BR289" s="92"/>
      <c r="BS289" s="94"/>
      <c r="BT289" s="95"/>
      <c r="BU289" s="95"/>
      <c r="BV289" s="95"/>
      <c r="BW289" s="94"/>
      <c r="BX289" s="346"/>
      <c r="BY289" s="93"/>
      <c r="BZ289" s="94"/>
      <c r="CA289" s="94"/>
      <c r="CB289" s="330"/>
      <c r="CC289" s="347"/>
      <c r="CD289" s="92"/>
      <c r="CE289" s="94"/>
      <c r="CF289" s="95"/>
      <c r="CG289" s="95"/>
      <c r="CH289" s="95"/>
      <c r="CI289" s="94"/>
    </row>
    <row r="290" spans="1:87" x14ac:dyDescent="0.2">
      <c r="A290" s="8">
        <v>281</v>
      </c>
      <c r="B290" s="1125">
        <f>'Membership Record'!B291</f>
        <v>0</v>
      </c>
      <c r="C290" s="1125"/>
      <c r="D290" s="87">
        <f>'Membership Record'!G291+'Membership Record'!P291</f>
        <v>0</v>
      </c>
      <c r="E290" s="350">
        <f t="shared" si="31"/>
        <v>0</v>
      </c>
      <c r="F290" s="614">
        <f>'Membership Record'!H291+'Membership Record'!Q291</f>
        <v>0</v>
      </c>
      <c r="G290" s="615">
        <f t="shared" si="32"/>
        <v>0</v>
      </c>
      <c r="H290" s="614">
        <f>'Membership Record'!I291+'Membership Record'!R291</f>
        <v>0</v>
      </c>
      <c r="I290" s="616">
        <f t="shared" si="33"/>
        <v>0</v>
      </c>
      <c r="J290" s="614">
        <f>'Membership Record'!J291+'Membership Record'!S291</f>
        <v>0</v>
      </c>
      <c r="K290" s="618">
        <f t="shared" si="34"/>
        <v>0</v>
      </c>
      <c r="L290" s="618">
        <f>'Membership Record'!K291+'Membership Record'!T291</f>
        <v>0</v>
      </c>
      <c r="M290" s="615">
        <f t="shared" si="35"/>
        <v>0</v>
      </c>
      <c r="N290" s="614">
        <f>'Membership Record'!L291+'Membership Record'!U291</f>
        <v>0</v>
      </c>
      <c r="O290" s="619">
        <f t="shared" si="36"/>
        <v>0</v>
      </c>
      <c r="P290" s="346"/>
      <c r="Q290" s="93"/>
      <c r="R290" s="94"/>
      <c r="S290" s="94"/>
      <c r="T290" s="330"/>
      <c r="U290" s="347"/>
      <c r="V290" s="92"/>
      <c r="W290" s="94"/>
      <c r="X290" s="95"/>
      <c r="Y290" s="95"/>
      <c r="Z290" s="95"/>
      <c r="AA290" s="94"/>
      <c r="AB290" s="346"/>
      <c r="AC290" s="93"/>
      <c r="AD290" s="94"/>
      <c r="AE290" s="94"/>
      <c r="AF290" s="330"/>
      <c r="AG290" s="347"/>
      <c r="AH290" s="92"/>
      <c r="AI290" s="94"/>
      <c r="AJ290" s="95"/>
      <c r="AK290" s="95"/>
      <c r="AL290" s="95"/>
      <c r="AM290" s="94"/>
      <c r="AN290" s="346"/>
      <c r="AO290" s="93"/>
      <c r="AP290" s="94"/>
      <c r="AQ290" s="94"/>
      <c r="AR290" s="330"/>
      <c r="AS290" s="347"/>
      <c r="AT290" s="92"/>
      <c r="AU290" s="94"/>
      <c r="AV290" s="95"/>
      <c r="AW290" s="95"/>
      <c r="AX290" s="95"/>
      <c r="AY290" s="94"/>
      <c r="AZ290" s="346"/>
      <c r="BA290" s="93"/>
      <c r="BB290" s="94"/>
      <c r="BC290" s="94"/>
      <c r="BD290" s="330"/>
      <c r="BE290" s="347"/>
      <c r="BF290" s="92"/>
      <c r="BG290" s="94"/>
      <c r="BH290" s="95"/>
      <c r="BI290" s="95"/>
      <c r="BJ290" s="95"/>
      <c r="BK290" s="94"/>
      <c r="BL290" s="346"/>
      <c r="BM290" s="93"/>
      <c r="BN290" s="94"/>
      <c r="BO290" s="94"/>
      <c r="BP290" s="330"/>
      <c r="BQ290" s="347"/>
      <c r="BR290" s="92"/>
      <c r="BS290" s="94"/>
      <c r="BT290" s="95"/>
      <c r="BU290" s="95"/>
      <c r="BV290" s="95"/>
      <c r="BW290" s="94"/>
      <c r="BX290" s="346"/>
      <c r="BY290" s="93"/>
      <c r="BZ290" s="94"/>
      <c r="CA290" s="94"/>
      <c r="CB290" s="330"/>
      <c r="CC290" s="347"/>
      <c r="CD290" s="92"/>
      <c r="CE290" s="94"/>
      <c r="CF290" s="95"/>
      <c r="CG290" s="95"/>
      <c r="CH290" s="95"/>
      <c r="CI290" s="94"/>
    </row>
    <row r="291" spans="1:87" x14ac:dyDescent="0.2">
      <c r="A291" s="8">
        <v>282</v>
      </c>
      <c r="B291" s="1125">
        <f>'Membership Record'!B292</f>
        <v>0</v>
      </c>
      <c r="C291" s="1125"/>
      <c r="D291" s="87">
        <f>'Membership Record'!G292+'Membership Record'!P292</f>
        <v>0</v>
      </c>
      <c r="E291" s="350">
        <f t="shared" si="31"/>
        <v>0</v>
      </c>
      <c r="F291" s="614">
        <f>'Membership Record'!H292+'Membership Record'!Q292</f>
        <v>0</v>
      </c>
      <c r="G291" s="615">
        <f t="shared" si="32"/>
        <v>0</v>
      </c>
      <c r="H291" s="614">
        <f>'Membership Record'!I292+'Membership Record'!R292</f>
        <v>0</v>
      </c>
      <c r="I291" s="616">
        <f t="shared" si="33"/>
        <v>0</v>
      </c>
      <c r="J291" s="614">
        <f>'Membership Record'!J292+'Membership Record'!S292</f>
        <v>0</v>
      </c>
      <c r="K291" s="618">
        <f t="shared" si="34"/>
        <v>0</v>
      </c>
      <c r="L291" s="618">
        <f>'Membership Record'!K292+'Membership Record'!T292</f>
        <v>0</v>
      </c>
      <c r="M291" s="615">
        <f t="shared" si="35"/>
        <v>0</v>
      </c>
      <c r="N291" s="614">
        <f>'Membership Record'!L292+'Membership Record'!U292</f>
        <v>0</v>
      </c>
      <c r="O291" s="619">
        <f t="shared" si="36"/>
        <v>0</v>
      </c>
      <c r="P291" s="346"/>
      <c r="Q291" s="93"/>
      <c r="R291" s="94"/>
      <c r="S291" s="94"/>
      <c r="T291" s="330"/>
      <c r="U291" s="347"/>
      <c r="V291" s="92"/>
      <c r="W291" s="94"/>
      <c r="X291" s="95"/>
      <c r="Y291" s="95"/>
      <c r="Z291" s="95"/>
      <c r="AA291" s="94"/>
      <c r="AB291" s="346"/>
      <c r="AC291" s="93"/>
      <c r="AD291" s="94"/>
      <c r="AE291" s="94"/>
      <c r="AF291" s="330"/>
      <c r="AG291" s="347"/>
      <c r="AH291" s="92"/>
      <c r="AI291" s="94"/>
      <c r="AJ291" s="95"/>
      <c r="AK291" s="95"/>
      <c r="AL291" s="95"/>
      <c r="AM291" s="94"/>
      <c r="AN291" s="346"/>
      <c r="AO291" s="93"/>
      <c r="AP291" s="94"/>
      <c r="AQ291" s="94"/>
      <c r="AR291" s="330"/>
      <c r="AS291" s="347"/>
      <c r="AT291" s="92"/>
      <c r="AU291" s="94"/>
      <c r="AV291" s="95"/>
      <c r="AW291" s="95"/>
      <c r="AX291" s="95"/>
      <c r="AY291" s="94"/>
      <c r="AZ291" s="346"/>
      <c r="BA291" s="93"/>
      <c r="BB291" s="94"/>
      <c r="BC291" s="94"/>
      <c r="BD291" s="330"/>
      <c r="BE291" s="347"/>
      <c r="BF291" s="92"/>
      <c r="BG291" s="94"/>
      <c r="BH291" s="95"/>
      <c r="BI291" s="95"/>
      <c r="BJ291" s="95"/>
      <c r="BK291" s="94"/>
      <c r="BL291" s="346"/>
      <c r="BM291" s="93"/>
      <c r="BN291" s="94"/>
      <c r="BO291" s="94"/>
      <c r="BP291" s="330"/>
      <c r="BQ291" s="347"/>
      <c r="BR291" s="92"/>
      <c r="BS291" s="94"/>
      <c r="BT291" s="95"/>
      <c r="BU291" s="95"/>
      <c r="BV291" s="95"/>
      <c r="BW291" s="94"/>
      <c r="BX291" s="346"/>
      <c r="BY291" s="93"/>
      <c r="BZ291" s="94"/>
      <c r="CA291" s="94"/>
      <c r="CB291" s="330"/>
      <c r="CC291" s="347"/>
      <c r="CD291" s="92"/>
      <c r="CE291" s="94"/>
      <c r="CF291" s="95"/>
      <c r="CG291" s="95"/>
      <c r="CH291" s="95"/>
      <c r="CI291" s="94"/>
    </row>
    <row r="292" spans="1:87" x14ac:dyDescent="0.2">
      <c r="A292" s="8">
        <v>283</v>
      </c>
      <c r="B292" s="1125">
        <f>'Membership Record'!B293</f>
        <v>0</v>
      </c>
      <c r="C292" s="1125"/>
      <c r="D292" s="87">
        <f>'Membership Record'!G293+'Membership Record'!P293</f>
        <v>0</v>
      </c>
      <c r="E292" s="350">
        <f t="shared" si="31"/>
        <v>0</v>
      </c>
      <c r="F292" s="614">
        <f>'Membership Record'!H293+'Membership Record'!Q293</f>
        <v>0</v>
      </c>
      <c r="G292" s="615">
        <f t="shared" si="32"/>
        <v>0</v>
      </c>
      <c r="H292" s="614">
        <f>'Membership Record'!I293+'Membership Record'!R293</f>
        <v>0</v>
      </c>
      <c r="I292" s="616">
        <f t="shared" si="33"/>
        <v>0</v>
      </c>
      <c r="J292" s="614">
        <f>'Membership Record'!J293+'Membership Record'!S293</f>
        <v>0</v>
      </c>
      <c r="K292" s="618">
        <f t="shared" si="34"/>
        <v>0</v>
      </c>
      <c r="L292" s="618">
        <f>'Membership Record'!K293+'Membership Record'!T293</f>
        <v>0</v>
      </c>
      <c r="M292" s="615">
        <f t="shared" si="35"/>
        <v>0</v>
      </c>
      <c r="N292" s="614">
        <f>'Membership Record'!L293+'Membership Record'!U293</f>
        <v>0</v>
      </c>
      <c r="O292" s="619">
        <f t="shared" si="36"/>
        <v>0</v>
      </c>
      <c r="P292" s="346"/>
      <c r="Q292" s="93"/>
      <c r="R292" s="94"/>
      <c r="S292" s="94"/>
      <c r="T292" s="330"/>
      <c r="U292" s="347"/>
      <c r="V292" s="92"/>
      <c r="W292" s="94"/>
      <c r="X292" s="95"/>
      <c r="Y292" s="95"/>
      <c r="Z292" s="95"/>
      <c r="AA292" s="94"/>
      <c r="AB292" s="346"/>
      <c r="AC292" s="93"/>
      <c r="AD292" s="94"/>
      <c r="AE292" s="94"/>
      <c r="AF292" s="330"/>
      <c r="AG292" s="347"/>
      <c r="AH292" s="92"/>
      <c r="AI292" s="94"/>
      <c r="AJ292" s="95"/>
      <c r="AK292" s="95"/>
      <c r="AL292" s="95"/>
      <c r="AM292" s="94"/>
      <c r="AN292" s="346"/>
      <c r="AO292" s="93"/>
      <c r="AP292" s="94"/>
      <c r="AQ292" s="94"/>
      <c r="AR292" s="330"/>
      <c r="AS292" s="347"/>
      <c r="AT292" s="92"/>
      <c r="AU292" s="94"/>
      <c r="AV292" s="95"/>
      <c r="AW292" s="95"/>
      <c r="AX292" s="95"/>
      <c r="AY292" s="94"/>
      <c r="AZ292" s="346"/>
      <c r="BA292" s="93"/>
      <c r="BB292" s="94"/>
      <c r="BC292" s="94"/>
      <c r="BD292" s="330"/>
      <c r="BE292" s="347"/>
      <c r="BF292" s="92"/>
      <c r="BG292" s="94"/>
      <c r="BH292" s="95"/>
      <c r="BI292" s="95"/>
      <c r="BJ292" s="95"/>
      <c r="BK292" s="94"/>
      <c r="BL292" s="346"/>
      <c r="BM292" s="93"/>
      <c r="BN292" s="94"/>
      <c r="BO292" s="94"/>
      <c r="BP292" s="330"/>
      <c r="BQ292" s="347"/>
      <c r="BR292" s="92"/>
      <c r="BS292" s="94"/>
      <c r="BT292" s="95"/>
      <c r="BU292" s="95"/>
      <c r="BV292" s="95"/>
      <c r="BW292" s="94"/>
      <c r="BX292" s="346"/>
      <c r="BY292" s="93"/>
      <c r="BZ292" s="94"/>
      <c r="CA292" s="94"/>
      <c r="CB292" s="330"/>
      <c r="CC292" s="347"/>
      <c r="CD292" s="92"/>
      <c r="CE292" s="94"/>
      <c r="CF292" s="95"/>
      <c r="CG292" s="95"/>
      <c r="CH292" s="95"/>
      <c r="CI292" s="94"/>
    </row>
    <row r="293" spans="1:87" x14ac:dyDescent="0.2">
      <c r="A293" s="8">
        <v>284</v>
      </c>
      <c r="B293" s="1125">
        <f>'Membership Record'!B294</f>
        <v>0</v>
      </c>
      <c r="C293" s="1125"/>
      <c r="D293" s="87">
        <f>'Membership Record'!G294+'Membership Record'!P294</f>
        <v>0</v>
      </c>
      <c r="E293" s="350">
        <f t="shared" si="31"/>
        <v>0</v>
      </c>
      <c r="F293" s="614">
        <f>'Membership Record'!H294+'Membership Record'!Q294</f>
        <v>0</v>
      </c>
      <c r="G293" s="615">
        <f t="shared" si="32"/>
        <v>0</v>
      </c>
      <c r="H293" s="614">
        <f>'Membership Record'!I294+'Membership Record'!R294</f>
        <v>0</v>
      </c>
      <c r="I293" s="616">
        <f t="shared" si="33"/>
        <v>0</v>
      </c>
      <c r="J293" s="614">
        <f>'Membership Record'!J294+'Membership Record'!S294</f>
        <v>0</v>
      </c>
      <c r="K293" s="618">
        <f t="shared" si="34"/>
        <v>0</v>
      </c>
      <c r="L293" s="618">
        <f>'Membership Record'!K294+'Membership Record'!T294</f>
        <v>0</v>
      </c>
      <c r="M293" s="615">
        <f t="shared" si="35"/>
        <v>0</v>
      </c>
      <c r="N293" s="614">
        <f>'Membership Record'!L294+'Membership Record'!U294</f>
        <v>0</v>
      </c>
      <c r="O293" s="619">
        <f t="shared" si="36"/>
        <v>0</v>
      </c>
      <c r="P293" s="346"/>
      <c r="Q293" s="93"/>
      <c r="R293" s="94"/>
      <c r="S293" s="94"/>
      <c r="T293" s="330"/>
      <c r="U293" s="347"/>
      <c r="V293" s="92"/>
      <c r="W293" s="94"/>
      <c r="X293" s="95"/>
      <c r="Y293" s="95"/>
      <c r="Z293" s="95"/>
      <c r="AA293" s="94"/>
      <c r="AB293" s="346"/>
      <c r="AC293" s="93"/>
      <c r="AD293" s="94"/>
      <c r="AE293" s="94"/>
      <c r="AF293" s="330"/>
      <c r="AG293" s="347"/>
      <c r="AH293" s="92"/>
      <c r="AI293" s="94"/>
      <c r="AJ293" s="95"/>
      <c r="AK293" s="95"/>
      <c r="AL293" s="95"/>
      <c r="AM293" s="94"/>
      <c r="AN293" s="346"/>
      <c r="AO293" s="93"/>
      <c r="AP293" s="94"/>
      <c r="AQ293" s="94"/>
      <c r="AR293" s="330"/>
      <c r="AS293" s="347"/>
      <c r="AT293" s="92"/>
      <c r="AU293" s="94"/>
      <c r="AV293" s="95"/>
      <c r="AW293" s="95"/>
      <c r="AX293" s="95"/>
      <c r="AY293" s="94"/>
      <c r="AZ293" s="346"/>
      <c r="BA293" s="93"/>
      <c r="BB293" s="94"/>
      <c r="BC293" s="94"/>
      <c r="BD293" s="330"/>
      <c r="BE293" s="347"/>
      <c r="BF293" s="92"/>
      <c r="BG293" s="94"/>
      <c r="BH293" s="95"/>
      <c r="BI293" s="95"/>
      <c r="BJ293" s="95"/>
      <c r="BK293" s="94"/>
      <c r="BL293" s="346"/>
      <c r="BM293" s="93"/>
      <c r="BN293" s="94"/>
      <c r="BO293" s="94"/>
      <c r="BP293" s="330"/>
      <c r="BQ293" s="347"/>
      <c r="BR293" s="92"/>
      <c r="BS293" s="94"/>
      <c r="BT293" s="95"/>
      <c r="BU293" s="95"/>
      <c r="BV293" s="95"/>
      <c r="BW293" s="94"/>
      <c r="BX293" s="346"/>
      <c r="BY293" s="93"/>
      <c r="BZ293" s="94"/>
      <c r="CA293" s="94"/>
      <c r="CB293" s="330"/>
      <c r="CC293" s="347"/>
      <c r="CD293" s="92"/>
      <c r="CE293" s="94"/>
      <c r="CF293" s="95"/>
      <c r="CG293" s="95"/>
      <c r="CH293" s="95"/>
      <c r="CI293" s="94"/>
    </row>
    <row r="294" spans="1:87" x14ac:dyDescent="0.2">
      <c r="A294" s="8">
        <v>285</v>
      </c>
      <c r="B294" s="1125">
        <f>'Membership Record'!B295</f>
        <v>0</v>
      </c>
      <c r="C294" s="1125"/>
      <c r="D294" s="87">
        <f>'Membership Record'!G295+'Membership Record'!P295</f>
        <v>0</v>
      </c>
      <c r="E294" s="350">
        <f t="shared" si="31"/>
        <v>0</v>
      </c>
      <c r="F294" s="614">
        <f>'Membership Record'!H295+'Membership Record'!Q295</f>
        <v>0</v>
      </c>
      <c r="G294" s="615">
        <f t="shared" si="32"/>
        <v>0</v>
      </c>
      <c r="H294" s="614">
        <f>'Membership Record'!I295+'Membership Record'!R295</f>
        <v>0</v>
      </c>
      <c r="I294" s="616">
        <f t="shared" si="33"/>
        <v>0</v>
      </c>
      <c r="J294" s="614">
        <f>'Membership Record'!J295+'Membership Record'!S295</f>
        <v>0</v>
      </c>
      <c r="K294" s="618">
        <f t="shared" si="34"/>
        <v>0</v>
      </c>
      <c r="L294" s="618">
        <f>'Membership Record'!K295+'Membership Record'!T295</f>
        <v>0</v>
      </c>
      <c r="M294" s="615">
        <f t="shared" si="35"/>
        <v>0</v>
      </c>
      <c r="N294" s="614">
        <f>'Membership Record'!L295+'Membership Record'!U295</f>
        <v>0</v>
      </c>
      <c r="O294" s="619">
        <f t="shared" si="36"/>
        <v>0</v>
      </c>
      <c r="P294" s="346"/>
      <c r="Q294" s="93"/>
      <c r="R294" s="94"/>
      <c r="S294" s="94"/>
      <c r="T294" s="330"/>
      <c r="U294" s="347"/>
      <c r="V294" s="92"/>
      <c r="W294" s="94"/>
      <c r="X294" s="95"/>
      <c r="Y294" s="95"/>
      <c r="Z294" s="95"/>
      <c r="AA294" s="94"/>
      <c r="AB294" s="346"/>
      <c r="AC294" s="93"/>
      <c r="AD294" s="94"/>
      <c r="AE294" s="94"/>
      <c r="AF294" s="330"/>
      <c r="AG294" s="347"/>
      <c r="AH294" s="92"/>
      <c r="AI294" s="94"/>
      <c r="AJ294" s="95"/>
      <c r="AK294" s="95"/>
      <c r="AL294" s="95"/>
      <c r="AM294" s="94"/>
      <c r="AN294" s="346"/>
      <c r="AO294" s="93"/>
      <c r="AP294" s="94"/>
      <c r="AQ294" s="94"/>
      <c r="AR294" s="330"/>
      <c r="AS294" s="347"/>
      <c r="AT294" s="92"/>
      <c r="AU294" s="94"/>
      <c r="AV294" s="95"/>
      <c r="AW294" s="95"/>
      <c r="AX294" s="95"/>
      <c r="AY294" s="94"/>
      <c r="AZ294" s="346"/>
      <c r="BA294" s="93"/>
      <c r="BB294" s="94"/>
      <c r="BC294" s="94"/>
      <c r="BD294" s="330"/>
      <c r="BE294" s="347"/>
      <c r="BF294" s="92"/>
      <c r="BG294" s="94"/>
      <c r="BH294" s="95"/>
      <c r="BI294" s="95"/>
      <c r="BJ294" s="95"/>
      <c r="BK294" s="94"/>
      <c r="BL294" s="346"/>
      <c r="BM294" s="93"/>
      <c r="BN294" s="94"/>
      <c r="BO294" s="94"/>
      <c r="BP294" s="330"/>
      <c r="BQ294" s="347"/>
      <c r="BR294" s="92"/>
      <c r="BS294" s="94"/>
      <c r="BT294" s="95"/>
      <c r="BU294" s="95"/>
      <c r="BV294" s="95"/>
      <c r="BW294" s="94"/>
      <c r="BX294" s="346"/>
      <c r="BY294" s="93"/>
      <c r="BZ294" s="94"/>
      <c r="CA294" s="94"/>
      <c r="CB294" s="330"/>
      <c r="CC294" s="347"/>
      <c r="CD294" s="92"/>
      <c r="CE294" s="94"/>
      <c r="CF294" s="95"/>
      <c r="CG294" s="95"/>
      <c r="CH294" s="95"/>
      <c r="CI294" s="94"/>
    </row>
    <row r="295" spans="1:87" x14ac:dyDescent="0.2">
      <c r="A295" s="8">
        <v>286</v>
      </c>
      <c r="B295" s="1125">
        <f>'Membership Record'!B296</f>
        <v>0</v>
      </c>
      <c r="C295" s="1125"/>
      <c r="D295" s="87">
        <f>'Membership Record'!G296+'Membership Record'!P296</f>
        <v>0</v>
      </c>
      <c r="E295" s="350">
        <f t="shared" si="31"/>
        <v>0</v>
      </c>
      <c r="F295" s="614">
        <f>'Membership Record'!H296+'Membership Record'!Q296</f>
        <v>0</v>
      </c>
      <c r="G295" s="615">
        <f t="shared" si="32"/>
        <v>0</v>
      </c>
      <c r="H295" s="614">
        <f>'Membership Record'!I296+'Membership Record'!R296</f>
        <v>0</v>
      </c>
      <c r="I295" s="616">
        <f t="shared" si="33"/>
        <v>0</v>
      </c>
      <c r="J295" s="614">
        <f>'Membership Record'!J296+'Membership Record'!S296</f>
        <v>0</v>
      </c>
      <c r="K295" s="618">
        <f t="shared" si="34"/>
        <v>0</v>
      </c>
      <c r="L295" s="618">
        <f>'Membership Record'!K296+'Membership Record'!T296</f>
        <v>0</v>
      </c>
      <c r="M295" s="615">
        <f t="shared" si="35"/>
        <v>0</v>
      </c>
      <c r="N295" s="614">
        <f>'Membership Record'!L296+'Membership Record'!U296</f>
        <v>0</v>
      </c>
      <c r="O295" s="619">
        <f t="shared" si="36"/>
        <v>0</v>
      </c>
      <c r="P295" s="346"/>
      <c r="Q295" s="93"/>
      <c r="R295" s="94"/>
      <c r="S295" s="94"/>
      <c r="T295" s="330"/>
      <c r="U295" s="347"/>
      <c r="V295" s="92"/>
      <c r="W295" s="94"/>
      <c r="X295" s="95"/>
      <c r="Y295" s="95"/>
      <c r="Z295" s="95"/>
      <c r="AA295" s="94"/>
      <c r="AB295" s="346"/>
      <c r="AC295" s="93"/>
      <c r="AD295" s="94"/>
      <c r="AE295" s="94"/>
      <c r="AF295" s="330"/>
      <c r="AG295" s="347"/>
      <c r="AH295" s="92"/>
      <c r="AI295" s="94"/>
      <c r="AJ295" s="95"/>
      <c r="AK295" s="95"/>
      <c r="AL295" s="95"/>
      <c r="AM295" s="94"/>
      <c r="AN295" s="346"/>
      <c r="AO295" s="93"/>
      <c r="AP295" s="94"/>
      <c r="AQ295" s="94"/>
      <c r="AR295" s="330"/>
      <c r="AS295" s="347"/>
      <c r="AT295" s="92"/>
      <c r="AU295" s="94"/>
      <c r="AV295" s="95"/>
      <c r="AW295" s="95"/>
      <c r="AX295" s="95"/>
      <c r="AY295" s="94"/>
      <c r="AZ295" s="346"/>
      <c r="BA295" s="93"/>
      <c r="BB295" s="94"/>
      <c r="BC295" s="94"/>
      <c r="BD295" s="330"/>
      <c r="BE295" s="347"/>
      <c r="BF295" s="92"/>
      <c r="BG295" s="94"/>
      <c r="BH295" s="95"/>
      <c r="BI295" s="95"/>
      <c r="BJ295" s="95"/>
      <c r="BK295" s="94"/>
      <c r="BL295" s="346"/>
      <c r="BM295" s="93"/>
      <c r="BN295" s="94"/>
      <c r="BO295" s="94"/>
      <c r="BP295" s="330"/>
      <c r="BQ295" s="347"/>
      <c r="BR295" s="92"/>
      <c r="BS295" s="94"/>
      <c r="BT295" s="95"/>
      <c r="BU295" s="95"/>
      <c r="BV295" s="95"/>
      <c r="BW295" s="94"/>
      <c r="BX295" s="346"/>
      <c r="BY295" s="93"/>
      <c r="BZ295" s="94"/>
      <c r="CA295" s="94"/>
      <c r="CB295" s="330"/>
      <c r="CC295" s="347"/>
      <c r="CD295" s="92"/>
      <c r="CE295" s="94"/>
      <c r="CF295" s="95"/>
      <c r="CG295" s="95"/>
      <c r="CH295" s="95"/>
      <c r="CI295" s="94"/>
    </row>
    <row r="296" spans="1:87" x14ac:dyDescent="0.2">
      <c r="A296" s="8">
        <v>287</v>
      </c>
      <c r="B296" s="1125">
        <f>'Membership Record'!B297</f>
        <v>0</v>
      </c>
      <c r="C296" s="1125"/>
      <c r="D296" s="87">
        <f>'Membership Record'!G297+'Membership Record'!P297</f>
        <v>0</v>
      </c>
      <c r="E296" s="350">
        <f t="shared" si="31"/>
        <v>0</v>
      </c>
      <c r="F296" s="614">
        <f>'Membership Record'!H297+'Membership Record'!Q297</f>
        <v>0</v>
      </c>
      <c r="G296" s="615">
        <f t="shared" si="32"/>
        <v>0</v>
      </c>
      <c r="H296" s="614">
        <f>'Membership Record'!I297+'Membership Record'!R297</f>
        <v>0</v>
      </c>
      <c r="I296" s="616">
        <f t="shared" si="33"/>
        <v>0</v>
      </c>
      <c r="J296" s="614">
        <f>'Membership Record'!J297+'Membership Record'!S297</f>
        <v>0</v>
      </c>
      <c r="K296" s="618">
        <f t="shared" si="34"/>
        <v>0</v>
      </c>
      <c r="L296" s="618">
        <f>'Membership Record'!K297+'Membership Record'!T297</f>
        <v>0</v>
      </c>
      <c r="M296" s="615">
        <f t="shared" si="35"/>
        <v>0</v>
      </c>
      <c r="N296" s="614">
        <f>'Membership Record'!L297+'Membership Record'!U297</f>
        <v>0</v>
      </c>
      <c r="O296" s="619">
        <f t="shared" si="36"/>
        <v>0</v>
      </c>
      <c r="P296" s="346"/>
      <c r="Q296" s="93"/>
      <c r="R296" s="94"/>
      <c r="S296" s="94"/>
      <c r="T296" s="330"/>
      <c r="U296" s="347"/>
      <c r="V296" s="92"/>
      <c r="W296" s="94"/>
      <c r="X296" s="95"/>
      <c r="Y296" s="95"/>
      <c r="Z296" s="95"/>
      <c r="AA296" s="94"/>
      <c r="AB296" s="346"/>
      <c r="AC296" s="93"/>
      <c r="AD296" s="94"/>
      <c r="AE296" s="94"/>
      <c r="AF296" s="330"/>
      <c r="AG296" s="347"/>
      <c r="AH296" s="92"/>
      <c r="AI296" s="94"/>
      <c r="AJ296" s="95"/>
      <c r="AK296" s="95"/>
      <c r="AL296" s="95"/>
      <c r="AM296" s="94"/>
      <c r="AN296" s="346"/>
      <c r="AO296" s="93"/>
      <c r="AP296" s="94"/>
      <c r="AQ296" s="94"/>
      <c r="AR296" s="330"/>
      <c r="AS296" s="347"/>
      <c r="AT296" s="92"/>
      <c r="AU296" s="94"/>
      <c r="AV296" s="95"/>
      <c r="AW296" s="95"/>
      <c r="AX296" s="95"/>
      <c r="AY296" s="94"/>
      <c r="AZ296" s="346"/>
      <c r="BA296" s="93"/>
      <c r="BB296" s="94"/>
      <c r="BC296" s="94"/>
      <c r="BD296" s="330"/>
      <c r="BE296" s="347"/>
      <c r="BF296" s="92"/>
      <c r="BG296" s="94"/>
      <c r="BH296" s="95"/>
      <c r="BI296" s="95"/>
      <c r="BJ296" s="95"/>
      <c r="BK296" s="94"/>
      <c r="BL296" s="346"/>
      <c r="BM296" s="93"/>
      <c r="BN296" s="94"/>
      <c r="BO296" s="94"/>
      <c r="BP296" s="330"/>
      <c r="BQ296" s="347"/>
      <c r="BR296" s="92"/>
      <c r="BS296" s="94"/>
      <c r="BT296" s="95"/>
      <c r="BU296" s="95"/>
      <c r="BV296" s="95"/>
      <c r="BW296" s="94"/>
      <c r="BX296" s="346"/>
      <c r="BY296" s="93"/>
      <c r="BZ296" s="94"/>
      <c r="CA296" s="94"/>
      <c r="CB296" s="330"/>
      <c r="CC296" s="347"/>
      <c r="CD296" s="92"/>
      <c r="CE296" s="94"/>
      <c r="CF296" s="95"/>
      <c r="CG296" s="95"/>
      <c r="CH296" s="95"/>
      <c r="CI296" s="94"/>
    </row>
    <row r="297" spans="1:87" x14ac:dyDescent="0.2">
      <c r="A297" s="8">
        <v>288</v>
      </c>
      <c r="B297" s="1125">
        <f>'Membership Record'!B298</f>
        <v>0</v>
      </c>
      <c r="C297" s="1125"/>
      <c r="D297" s="87">
        <f>'Membership Record'!G298+'Membership Record'!P298</f>
        <v>0</v>
      </c>
      <c r="E297" s="350">
        <f t="shared" si="31"/>
        <v>0</v>
      </c>
      <c r="F297" s="614">
        <f>'Membership Record'!H298+'Membership Record'!Q298</f>
        <v>0</v>
      </c>
      <c r="G297" s="615">
        <f t="shared" si="32"/>
        <v>0</v>
      </c>
      <c r="H297" s="614">
        <f>'Membership Record'!I298+'Membership Record'!R298</f>
        <v>0</v>
      </c>
      <c r="I297" s="616">
        <f t="shared" si="33"/>
        <v>0</v>
      </c>
      <c r="J297" s="614">
        <f>'Membership Record'!J298+'Membership Record'!S298</f>
        <v>0</v>
      </c>
      <c r="K297" s="618">
        <f t="shared" si="34"/>
        <v>0</v>
      </c>
      <c r="L297" s="618">
        <f>'Membership Record'!K298+'Membership Record'!T298</f>
        <v>0</v>
      </c>
      <c r="M297" s="615">
        <f t="shared" si="35"/>
        <v>0</v>
      </c>
      <c r="N297" s="614">
        <f>'Membership Record'!L298+'Membership Record'!U298</f>
        <v>0</v>
      </c>
      <c r="O297" s="619">
        <f t="shared" si="36"/>
        <v>0</v>
      </c>
      <c r="P297" s="346"/>
      <c r="Q297" s="93"/>
      <c r="R297" s="94"/>
      <c r="S297" s="94"/>
      <c r="T297" s="330"/>
      <c r="U297" s="347"/>
      <c r="V297" s="92"/>
      <c r="W297" s="94"/>
      <c r="X297" s="95"/>
      <c r="Y297" s="95"/>
      <c r="Z297" s="95"/>
      <c r="AA297" s="94"/>
      <c r="AB297" s="346"/>
      <c r="AC297" s="93"/>
      <c r="AD297" s="94"/>
      <c r="AE297" s="94"/>
      <c r="AF297" s="330"/>
      <c r="AG297" s="347"/>
      <c r="AH297" s="92"/>
      <c r="AI297" s="94"/>
      <c r="AJ297" s="95"/>
      <c r="AK297" s="95"/>
      <c r="AL297" s="95"/>
      <c r="AM297" s="94"/>
      <c r="AN297" s="346"/>
      <c r="AO297" s="93"/>
      <c r="AP297" s="94"/>
      <c r="AQ297" s="94"/>
      <c r="AR297" s="330"/>
      <c r="AS297" s="347"/>
      <c r="AT297" s="92"/>
      <c r="AU297" s="94"/>
      <c r="AV297" s="95"/>
      <c r="AW297" s="95"/>
      <c r="AX297" s="95"/>
      <c r="AY297" s="94"/>
      <c r="AZ297" s="346"/>
      <c r="BA297" s="93"/>
      <c r="BB297" s="94"/>
      <c r="BC297" s="94"/>
      <c r="BD297" s="330"/>
      <c r="BE297" s="347"/>
      <c r="BF297" s="92"/>
      <c r="BG297" s="94"/>
      <c r="BH297" s="95"/>
      <c r="BI297" s="95"/>
      <c r="BJ297" s="95"/>
      <c r="BK297" s="94"/>
      <c r="BL297" s="346"/>
      <c r="BM297" s="93"/>
      <c r="BN297" s="94"/>
      <c r="BO297" s="94"/>
      <c r="BP297" s="330"/>
      <c r="BQ297" s="347"/>
      <c r="BR297" s="92"/>
      <c r="BS297" s="94"/>
      <c r="BT297" s="95"/>
      <c r="BU297" s="95"/>
      <c r="BV297" s="95"/>
      <c r="BW297" s="94"/>
      <c r="BX297" s="346"/>
      <c r="BY297" s="93"/>
      <c r="BZ297" s="94"/>
      <c r="CA297" s="94"/>
      <c r="CB297" s="330"/>
      <c r="CC297" s="347"/>
      <c r="CD297" s="92"/>
      <c r="CE297" s="94"/>
      <c r="CF297" s="95"/>
      <c r="CG297" s="95"/>
      <c r="CH297" s="95"/>
      <c r="CI297" s="94"/>
    </row>
    <row r="298" spans="1:87" x14ac:dyDescent="0.2">
      <c r="A298" s="8">
        <v>289</v>
      </c>
      <c r="B298" s="1125">
        <f>'Membership Record'!B299</f>
        <v>0</v>
      </c>
      <c r="C298" s="1125"/>
      <c r="D298" s="87">
        <f>'Membership Record'!G299+'Membership Record'!P299</f>
        <v>0</v>
      </c>
      <c r="E298" s="350">
        <f t="shared" si="31"/>
        <v>0</v>
      </c>
      <c r="F298" s="614">
        <f>'Membership Record'!H299+'Membership Record'!Q299</f>
        <v>0</v>
      </c>
      <c r="G298" s="615">
        <f t="shared" si="32"/>
        <v>0</v>
      </c>
      <c r="H298" s="614">
        <f>'Membership Record'!I299+'Membership Record'!R299</f>
        <v>0</v>
      </c>
      <c r="I298" s="616">
        <f t="shared" si="33"/>
        <v>0</v>
      </c>
      <c r="J298" s="614">
        <f>'Membership Record'!J299+'Membership Record'!S299</f>
        <v>0</v>
      </c>
      <c r="K298" s="618">
        <f t="shared" si="34"/>
        <v>0</v>
      </c>
      <c r="L298" s="618">
        <f>'Membership Record'!K299+'Membership Record'!T299</f>
        <v>0</v>
      </c>
      <c r="M298" s="615">
        <f t="shared" si="35"/>
        <v>0</v>
      </c>
      <c r="N298" s="614">
        <f>'Membership Record'!L299+'Membership Record'!U299</f>
        <v>0</v>
      </c>
      <c r="O298" s="619">
        <f t="shared" si="36"/>
        <v>0</v>
      </c>
      <c r="P298" s="346"/>
      <c r="Q298" s="93"/>
      <c r="R298" s="94"/>
      <c r="S298" s="94"/>
      <c r="T298" s="330"/>
      <c r="U298" s="347"/>
      <c r="V298" s="92"/>
      <c r="W298" s="94"/>
      <c r="X298" s="95"/>
      <c r="Y298" s="95"/>
      <c r="Z298" s="95"/>
      <c r="AA298" s="94"/>
      <c r="AB298" s="346"/>
      <c r="AC298" s="93"/>
      <c r="AD298" s="94"/>
      <c r="AE298" s="94"/>
      <c r="AF298" s="330"/>
      <c r="AG298" s="347"/>
      <c r="AH298" s="92"/>
      <c r="AI298" s="94"/>
      <c r="AJ298" s="95"/>
      <c r="AK298" s="95"/>
      <c r="AL298" s="95"/>
      <c r="AM298" s="94"/>
      <c r="AN298" s="346"/>
      <c r="AO298" s="93"/>
      <c r="AP298" s="94"/>
      <c r="AQ298" s="94"/>
      <c r="AR298" s="330"/>
      <c r="AS298" s="347"/>
      <c r="AT298" s="92"/>
      <c r="AU298" s="94"/>
      <c r="AV298" s="95"/>
      <c r="AW298" s="95"/>
      <c r="AX298" s="95"/>
      <c r="AY298" s="94"/>
      <c r="AZ298" s="346"/>
      <c r="BA298" s="93"/>
      <c r="BB298" s="94"/>
      <c r="BC298" s="94"/>
      <c r="BD298" s="330"/>
      <c r="BE298" s="347"/>
      <c r="BF298" s="92"/>
      <c r="BG298" s="94"/>
      <c r="BH298" s="95"/>
      <c r="BI298" s="95"/>
      <c r="BJ298" s="95"/>
      <c r="BK298" s="94"/>
      <c r="BL298" s="346"/>
      <c r="BM298" s="93"/>
      <c r="BN298" s="94"/>
      <c r="BO298" s="94"/>
      <c r="BP298" s="330"/>
      <c r="BQ298" s="347"/>
      <c r="BR298" s="92"/>
      <c r="BS298" s="94"/>
      <c r="BT298" s="95"/>
      <c r="BU298" s="95"/>
      <c r="BV298" s="95"/>
      <c r="BW298" s="94"/>
      <c r="BX298" s="346"/>
      <c r="BY298" s="93"/>
      <c r="BZ298" s="94"/>
      <c r="CA298" s="94"/>
      <c r="CB298" s="330"/>
      <c r="CC298" s="347"/>
      <c r="CD298" s="92"/>
      <c r="CE298" s="94"/>
      <c r="CF298" s="95"/>
      <c r="CG298" s="95"/>
      <c r="CH298" s="95"/>
      <c r="CI298" s="94"/>
    </row>
    <row r="299" spans="1:87" x14ac:dyDescent="0.2">
      <c r="A299" s="8">
        <v>290</v>
      </c>
      <c r="B299" s="1125">
        <f>'Membership Record'!B300</f>
        <v>0</v>
      </c>
      <c r="C299" s="1125"/>
      <c r="D299" s="87">
        <f>'Membership Record'!G300+'Membership Record'!P300</f>
        <v>0</v>
      </c>
      <c r="E299" s="350">
        <f t="shared" si="31"/>
        <v>0</v>
      </c>
      <c r="F299" s="614">
        <f>'Membership Record'!H300+'Membership Record'!Q300</f>
        <v>0</v>
      </c>
      <c r="G299" s="615">
        <f t="shared" si="32"/>
        <v>0</v>
      </c>
      <c r="H299" s="614">
        <f>'Membership Record'!I300+'Membership Record'!R300</f>
        <v>0</v>
      </c>
      <c r="I299" s="616">
        <f t="shared" si="33"/>
        <v>0</v>
      </c>
      <c r="J299" s="614">
        <f>'Membership Record'!J300+'Membership Record'!S300</f>
        <v>0</v>
      </c>
      <c r="K299" s="618">
        <f t="shared" si="34"/>
        <v>0</v>
      </c>
      <c r="L299" s="618">
        <f>'Membership Record'!K300+'Membership Record'!T300</f>
        <v>0</v>
      </c>
      <c r="M299" s="615">
        <f t="shared" si="35"/>
        <v>0</v>
      </c>
      <c r="N299" s="614">
        <f>'Membership Record'!L300+'Membership Record'!U300</f>
        <v>0</v>
      </c>
      <c r="O299" s="619">
        <f t="shared" si="36"/>
        <v>0</v>
      </c>
      <c r="P299" s="346"/>
      <c r="Q299" s="93"/>
      <c r="R299" s="94"/>
      <c r="S299" s="94"/>
      <c r="T299" s="330"/>
      <c r="U299" s="347"/>
      <c r="V299" s="92"/>
      <c r="W299" s="94"/>
      <c r="X299" s="95"/>
      <c r="Y299" s="95"/>
      <c r="Z299" s="95"/>
      <c r="AA299" s="94"/>
      <c r="AB299" s="346"/>
      <c r="AC299" s="93"/>
      <c r="AD299" s="94"/>
      <c r="AE299" s="94"/>
      <c r="AF299" s="330"/>
      <c r="AG299" s="347"/>
      <c r="AH299" s="92"/>
      <c r="AI299" s="94"/>
      <c r="AJ299" s="95"/>
      <c r="AK299" s="95"/>
      <c r="AL299" s="95"/>
      <c r="AM299" s="94"/>
      <c r="AN299" s="346"/>
      <c r="AO299" s="93"/>
      <c r="AP299" s="94"/>
      <c r="AQ299" s="94"/>
      <c r="AR299" s="330"/>
      <c r="AS299" s="347"/>
      <c r="AT299" s="92"/>
      <c r="AU299" s="94"/>
      <c r="AV299" s="95"/>
      <c r="AW299" s="95"/>
      <c r="AX299" s="95"/>
      <c r="AY299" s="94"/>
      <c r="AZ299" s="346"/>
      <c r="BA299" s="93"/>
      <c r="BB299" s="94"/>
      <c r="BC299" s="94"/>
      <c r="BD299" s="330"/>
      <c r="BE299" s="347"/>
      <c r="BF299" s="92"/>
      <c r="BG299" s="94"/>
      <c r="BH299" s="95"/>
      <c r="BI299" s="95"/>
      <c r="BJ299" s="95"/>
      <c r="BK299" s="94"/>
      <c r="BL299" s="346"/>
      <c r="BM299" s="93"/>
      <c r="BN299" s="94"/>
      <c r="BO299" s="94"/>
      <c r="BP299" s="330"/>
      <c r="BQ299" s="347"/>
      <c r="BR299" s="92"/>
      <c r="BS299" s="94"/>
      <c r="BT299" s="95"/>
      <c r="BU299" s="95"/>
      <c r="BV299" s="95"/>
      <c r="BW299" s="94"/>
      <c r="BX299" s="346"/>
      <c r="BY299" s="93"/>
      <c r="BZ299" s="94"/>
      <c r="CA299" s="94"/>
      <c r="CB299" s="330"/>
      <c r="CC299" s="347"/>
      <c r="CD299" s="92"/>
      <c r="CE299" s="94"/>
      <c r="CF299" s="95"/>
      <c r="CG299" s="95"/>
      <c r="CH299" s="95"/>
      <c r="CI299" s="94"/>
    </row>
    <row r="300" spans="1:87" x14ac:dyDescent="0.2">
      <c r="A300" s="8">
        <v>291</v>
      </c>
      <c r="B300" s="1125">
        <f>'Membership Record'!B301</f>
        <v>0</v>
      </c>
      <c r="C300" s="1125"/>
      <c r="D300" s="87">
        <f>'Membership Record'!G301+'Membership Record'!P301</f>
        <v>0</v>
      </c>
      <c r="E300" s="350">
        <f t="shared" si="31"/>
        <v>0</v>
      </c>
      <c r="F300" s="614">
        <f>'Membership Record'!H301+'Membership Record'!Q301</f>
        <v>0</v>
      </c>
      <c r="G300" s="615">
        <f t="shared" si="32"/>
        <v>0</v>
      </c>
      <c r="H300" s="614">
        <f>'Membership Record'!I301+'Membership Record'!R301</f>
        <v>0</v>
      </c>
      <c r="I300" s="616">
        <f t="shared" si="33"/>
        <v>0</v>
      </c>
      <c r="J300" s="614">
        <f>'Membership Record'!J301+'Membership Record'!S301</f>
        <v>0</v>
      </c>
      <c r="K300" s="618">
        <f t="shared" si="34"/>
        <v>0</v>
      </c>
      <c r="L300" s="618">
        <f>'Membership Record'!K301+'Membership Record'!T301</f>
        <v>0</v>
      </c>
      <c r="M300" s="615">
        <f t="shared" si="35"/>
        <v>0</v>
      </c>
      <c r="N300" s="614">
        <f>'Membership Record'!L301+'Membership Record'!U301</f>
        <v>0</v>
      </c>
      <c r="O300" s="619">
        <f t="shared" si="36"/>
        <v>0</v>
      </c>
      <c r="P300" s="346"/>
      <c r="Q300" s="93"/>
      <c r="R300" s="94"/>
      <c r="S300" s="94"/>
      <c r="T300" s="330"/>
      <c r="U300" s="347"/>
      <c r="V300" s="92"/>
      <c r="W300" s="94"/>
      <c r="X300" s="95"/>
      <c r="Y300" s="95"/>
      <c r="Z300" s="95"/>
      <c r="AA300" s="94"/>
      <c r="AB300" s="346"/>
      <c r="AC300" s="93"/>
      <c r="AD300" s="94"/>
      <c r="AE300" s="94"/>
      <c r="AF300" s="330"/>
      <c r="AG300" s="347"/>
      <c r="AH300" s="92"/>
      <c r="AI300" s="94"/>
      <c r="AJ300" s="95"/>
      <c r="AK300" s="95"/>
      <c r="AL300" s="95"/>
      <c r="AM300" s="94"/>
      <c r="AN300" s="346"/>
      <c r="AO300" s="93"/>
      <c r="AP300" s="94"/>
      <c r="AQ300" s="94"/>
      <c r="AR300" s="330"/>
      <c r="AS300" s="347"/>
      <c r="AT300" s="92"/>
      <c r="AU300" s="94"/>
      <c r="AV300" s="95"/>
      <c r="AW300" s="95"/>
      <c r="AX300" s="95"/>
      <c r="AY300" s="94"/>
      <c r="AZ300" s="346"/>
      <c r="BA300" s="93"/>
      <c r="BB300" s="94"/>
      <c r="BC300" s="94"/>
      <c r="BD300" s="330"/>
      <c r="BE300" s="347"/>
      <c r="BF300" s="92"/>
      <c r="BG300" s="94"/>
      <c r="BH300" s="95"/>
      <c r="BI300" s="95"/>
      <c r="BJ300" s="95"/>
      <c r="BK300" s="94"/>
      <c r="BL300" s="346"/>
      <c r="BM300" s="93"/>
      <c r="BN300" s="94"/>
      <c r="BO300" s="94"/>
      <c r="BP300" s="330"/>
      <c r="BQ300" s="347"/>
      <c r="BR300" s="92"/>
      <c r="BS300" s="94"/>
      <c r="BT300" s="95"/>
      <c r="BU300" s="95"/>
      <c r="BV300" s="95"/>
      <c r="BW300" s="94"/>
      <c r="BX300" s="346"/>
      <c r="BY300" s="93"/>
      <c r="BZ300" s="94"/>
      <c r="CA300" s="94"/>
      <c r="CB300" s="330"/>
      <c r="CC300" s="347"/>
      <c r="CD300" s="92"/>
      <c r="CE300" s="94"/>
      <c r="CF300" s="95"/>
      <c r="CG300" s="95"/>
      <c r="CH300" s="95"/>
      <c r="CI300" s="94"/>
    </row>
    <row r="301" spans="1:87" x14ac:dyDescent="0.2">
      <c r="A301" s="8">
        <v>292</v>
      </c>
      <c r="B301" s="1125">
        <f>'Membership Record'!B302</f>
        <v>0</v>
      </c>
      <c r="C301" s="1125"/>
      <c r="D301" s="87">
        <f>'Membership Record'!G302+'Membership Record'!P302</f>
        <v>0</v>
      </c>
      <c r="E301" s="350">
        <f t="shared" si="31"/>
        <v>0</v>
      </c>
      <c r="F301" s="614">
        <f>'Membership Record'!H302+'Membership Record'!Q302</f>
        <v>0</v>
      </c>
      <c r="G301" s="615">
        <f t="shared" si="32"/>
        <v>0</v>
      </c>
      <c r="H301" s="614">
        <f>'Membership Record'!I302+'Membership Record'!R302</f>
        <v>0</v>
      </c>
      <c r="I301" s="616">
        <f t="shared" si="33"/>
        <v>0</v>
      </c>
      <c r="J301" s="614">
        <f>'Membership Record'!J302+'Membership Record'!S302</f>
        <v>0</v>
      </c>
      <c r="K301" s="618">
        <f t="shared" si="34"/>
        <v>0</v>
      </c>
      <c r="L301" s="618">
        <f>'Membership Record'!K302+'Membership Record'!T302</f>
        <v>0</v>
      </c>
      <c r="M301" s="615">
        <f t="shared" si="35"/>
        <v>0</v>
      </c>
      <c r="N301" s="614">
        <f>'Membership Record'!L302+'Membership Record'!U302</f>
        <v>0</v>
      </c>
      <c r="O301" s="619">
        <f t="shared" si="36"/>
        <v>0</v>
      </c>
      <c r="P301" s="346"/>
      <c r="Q301" s="93"/>
      <c r="R301" s="94"/>
      <c r="S301" s="94"/>
      <c r="T301" s="330"/>
      <c r="U301" s="347"/>
      <c r="V301" s="92"/>
      <c r="W301" s="94"/>
      <c r="X301" s="95"/>
      <c r="Y301" s="95"/>
      <c r="Z301" s="95"/>
      <c r="AA301" s="94"/>
      <c r="AB301" s="346"/>
      <c r="AC301" s="93"/>
      <c r="AD301" s="94"/>
      <c r="AE301" s="94"/>
      <c r="AF301" s="330"/>
      <c r="AG301" s="347"/>
      <c r="AH301" s="92"/>
      <c r="AI301" s="94"/>
      <c r="AJ301" s="95"/>
      <c r="AK301" s="95"/>
      <c r="AL301" s="95"/>
      <c r="AM301" s="94"/>
      <c r="AN301" s="346"/>
      <c r="AO301" s="93"/>
      <c r="AP301" s="94"/>
      <c r="AQ301" s="94"/>
      <c r="AR301" s="330"/>
      <c r="AS301" s="347"/>
      <c r="AT301" s="92"/>
      <c r="AU301" s="94"/>
      <c r="AV301" s="95"/>
      <c r="AW301" s="95"/>
      <c r="AX301" s="95"/>
      <c r="AY301" s="94"/>
      <c r="AZ301" s="346"/>
      <c r="BA301" s="93"/>
      <c r="BB301" s="94"/>
      <c r="BC301" s="94"/>
      <c r="BD301" s="330"/>
      <c r="BE301" s="347"/>
      <c r="BF301" s="92"/>
      <c r="BG301" s="94"/>
      <c r="BH301" s="95"/>
      <c r="BI301" s="95"/>
      <c r="BJ301" s="95"/>
      <c r="BK301" s="94"/>
      <c r="BL301" s="346"/>
      <c r="BM301" s="93"/>
      <c r="BN301" s="94"/>
      <c r="BO301" s="94"/>
      <c r="BP301" s="330"/>
      <c r="BQ301" s="347"/>
      <c r="BR301" s="92"/>
      <c r="BS301" s="94"/>
      <c r="BT301" s="95"/>
      <c r="BU301" s="95"/>
      <c r="BV301" s="95"/>
      <c r="BW301" s="94"/>
      <c r="BX301" s="346"/>
      <c r="BY301" s="93"/>
      <c r="BZ301" s="94"/>
      <c r="CA301" s="94"/>
      <c r="CB301" s="330"/>
      <c r="CC301" s="347"/>
      <c r="CD301" s="92"/>
      <c r="CE301" s="94"/>
      <c r="CF301" s="95"/>
      <c r="CG301" s="95"/>
      <c r="CH301" s="95"/>
      <c r="CI301" s="94"/>
    </row>
    <row r="302" spans="1:87" x14ac:dyDescent="0.2">
      <c r="A302" s="8">
        <v>293</v>
      </c>
      <c r="B302" s="1125">
        <f>'Membership Record'!B303</f>
        <v>0</v>
      </c>
      <c r="C302" s="1125"/>
      <c r="D302" s="87">
        <f>'Membership Record'!G303+'Membership Record'!P303</f>
        <v>0</v>
      </c>
      <c r="E302" s="350">
        <f t="shared" si="31"/>
        <v>0</v>
      </c>
      <c r="F302" s="614">
        <f>'Membership Record'!H303+'Membership Record'!Q303</f>
        <v>0</v>
      </c>
      <c r="G302" s="615">
        <f t="shared" si="32"/>
        <v>0</v>
      </c>
      <c r="H302" s="614">
        <f>'Membership Record'!I303+'Membership Record'!R303</f>
        <v>0</v>
      </c>
      <c r="I302" s="616">
        <f t="shared" si="33"/>
        <v>0</v>
      </c>
      <c r="J302" s="614">
        <f>'Membership Record'!J303+'Membership Record'!S303</f>
        <v>0</v>
      </c>
      <c r="K302" s="618">
        <f t="shared" si="34"/>
        <v>0</v>
      </c>
      <c r="L302" s="618">
        <f>'Membership Record'!K303+'Membership Record'!T303</f>
        <v>0</v>
      </c>
      <c r="M302" s="615">
        <f t="shared" si="35"/>
        <v>0</v>
      </c>
      <c r="N302" s="614">
        <f>'Membership Record'!L303+'Membership Record'!U303</f>
        <v>0</v>
      </c>
      <c r="O302" s="619">
        <f t="shared" si="36"/>
        <v>0</v>
      </c>
      <c r="P302" s="346"/>
      <c r="Q302" s="93"/>
      <c r="R302" s="94"/>
      <c r="S302" s="94"/>
      <c r="T302" s="330"/>
      <c r="U302" s="347"/>
      <c r="V302" s="92"/>
      <c r="W302" s="94"/>
      <c r="X302" s="95"/>
      <c r="Y302" s="95"/>
      <c r="Z302" s="95"/>
      <c r="AA302" s="94"/>
      <c r="AB302" s="346"/>
      <c r="AC302" s="93"/>
      <c r="AD302" s="94"/>
      <c r="AE302" s="94"/>
      <c r="AF302" s="330"/>
      <c r="AG302" s="347"/>
      <c r="AH302" s="92"/>
      <c r="AI302" s="94"/>
      <c r="AJ302" s="95"/>
      <c r="AK302" s="95"/>
      <c r="AL302" s="95"/>
      <c r="AM302" s="94"/>
      <c r="AN302" s="346"/>
      <c r="AO302" s="93"/>
      <c r="AP302" s="94"/>
      <c r="AQ302" s="94"/>
      <c r="AR302" s="330"/>
      <c r="AS302" s="347"/>
      <c r="AT302" s="92"/>
      <c r="AU302" s="94"/>
      <c r="AV302" s="95"/>
      <c r="AW302" s="95"/>
      <c r="AX302" s="95"/>
      <c r="AY302" s="94"/>
      <c r="AZ302" s="346"/>
      <c r="BA302" s="93"/>
      <c r="BB302" s="94"/>
      <c r="BC302" s="94"/>
      <c r="BD302" s="330"/>
      <c r="BE302" s="347"/>
      <c r="BF302" s="92"/>
      <c r="BG302" s="94"/>
      <c r="BH302" s="95"/>
      <c r="BI302" s="95"/>
      <c r="BJ302" s="95"/>
      <c r="BK302" s="94"/>
      <c r="BL302" s="346"/>
      <c r="BM302" s="93"/>
      <c r="BN302" s="94"/>
      <c r="BO302" s="94"/>
      <c r="BP302" s="330"/>
      <c r="BQ302" s="347"/>
      <c r="BR302" s="92"/>
      <c r="BS302" s="94"/>
      <c r="BT302" s="95"/>
      <c r="BU302" s="95"/>
      <c r="BV302" s="95"/>
      <c r="BW302" s="94"/>
      <c r="BX302" s="346"/>
      <c r="BY302" s="93"/>
      <c r="BZ302" s="94"/>
      <c r="CA302" s="94"/>
      <c r="CB302" s="330"/>
      <c r="CC302" s="347"/>
      <c r="CD302" s="92"/>
      <c r="CE302" s="94"/>
      <c r="CF302" s="95"/>
      <c r="CG302" s="95"/>
      <c r="CH302" s="95"/>
      <c r="CI302" s="94"/>
    </row>
    <row r="303" spans="1:87" x14ac:dyDescent="0.2">
      <c r="A303" s="8">
        <v>294</v>
      </c>
      <c r="B303" s="1125">
        <f>'Membership Record'!B304</f>
        <v>0</v>
      </c>
      <c r="C303" s="1125"/>
      <c r="D303" s="87">
        <f>'Membership Record'!G304+'Membership Record'!P304</f>
        <v>0</v>
      </c>
      <c r="E303" s="350">
        <f t="shared" si="31"/>
        <v>0</v>
      </c>
      <c r="F303" s="614">
        <f>'Membership Record'!H304+'Membership Record'!Q304</f>
        <v>0</v>
      </c>
      <c r="G303" s="615">
        <f t="shared" si="32"/>
        <v>0</v>
      </c>
      <c r="H303" s="614">
        <f>'Membership Record'!I304+'Membership Record'!R304</f>
        <v>0</v>
      </c>
      <c r="I303" s="616">
        <f t="shared" si="33"/>
        <v>0</v>
      </c>
      <c r="J303" s="614">
        <f>'Membership Record'!J304+'Membership Record'!S304</f>
        <v>0</v>
      </c>
      <c r="K303" s="618">
        <f t="shared" si="34"/>
        <v>0</v>
      </c>
      <c r="L303" s="618">
        <f>'Membership Record'!K304+'Membership Record'!T304</f>
        <v>0</v>
      </c>
      <c r="M303" s="615">
        <f t="shared" si="35"/>
        <v>0</v>
      </c>
      <c r="N303" s="614">
        <f>'Membership Record'!L304+'Membership Record'!U304</f>
        <v>0</v>
      </c>
      <c r="O303" s="619">
        <f t="shared" si="36"/>
        <v>0</v>
      </c>
      <c r="P303" s="346"/>
      <c r="Q303" s="93"/>
      <c r="R303" s="94"/>
      <c r="S303" s="94"/>
      <c r="T303" s="330"/>
      <c r="U303" s="347"/>
      <c r="V303" s="92"/>
      <c r="W303" s="94"/>
      <c r="X303" s="95"/>
      <c r="Y303" s="95"/>
      <c r="Z303" s="95"/>
      <c r="AA303" s="94"/>
      <c r="AB303" s="346"/>
      <c r="AC303" s="93"/>
      <c r="AD303" s="94"/>
      <c r="AE303" s="94"/>
      <c r="AF303" s="330"/>
      <c r="AG303" s="347"/>
      <c r="AH303" s="92"/>
      <c r="AI303" s="94"/>
      <c r="AJ303" s="95"/>
      <c r="AK303" s="95"/>
      <c r="AL303" s="95"/>
      <c r="AM303" s="94"/>
      <c r="AN303" s="346"/>
      <c r="AO303" s="93"/>
      <c r="AP303" s="94"/>
      <c r="AQ303" s="94"/>
      <c r="AR303" s="330"/>
      <c r="AS303" s="347"/>
      <c r="AT303" s="92"/>
      <c r="AU303" s="94"/>
      <c r="AV303" s="95"/>
      <c r="AW303" s="95"/>
      <c r="AX303" s="95"/>
      <c r="AY303" s="94"/>
      <c r="AZ303" s="346"/>
      <c r="BA303" s="93"/>
      <c r="BB303" s="94"/>
      <c r="BC303" s="94"/>
      <c r="BD303" s="330"/>
      <c r="BE303" s="347"/>
      <c r="BF303" s="92"/>
      <c r="BG303" s="94"/>
      <c r="BH303" s="95"/>
      <c r="BI303" s="95"/>
      <c r="BJ303" s="95"/>
      <c r="BK303" s="94"/>
      <c r="BL303" s="346"/>
      <c r="BM303" s="93"/>
      <c r="BN303" s="94"/>
      <c r="BO303" s="94"/>
      <c r="BP303" s="330"/>
      <c r="BQ303" s="347"/>
      <c r="BR303" s="92"/>
      <c r="BS303" s="94"/>
      <c r="BT303" s="95"/>
      <c r="BU303" s="95"/>
      <c r="BV303" s="95"/>
      <c r="BW303" s="94"/>
      <c r="BX303" s="346"/>
      <c r="BY303" s="93"/>
      <c r="BZ303" s="94"/>
      <c r="CA303" s="94"/>
      <c r="CB303" s="330"/>
      <c r="CC303" s="347"/>
      <c r="CD303" s="92"/>
      <c r="CE303" s="94"/>
      <c r="CF303" s="95"/>
      <c r="CG303" s="95"/>
      <c r="CH303" s="95"/>
      <c r="CI303" s="94"/>
    </row>
    <row r="304" spans="1:87" x14ac:dyDescent="0.2">
      <c r="A304" s="8">
        <v>295</v>
      </c>
      <c r="B304" s="1125">
        <f>'Membership Record'!B305</f>
        <v>0</v>
      </c>
      <c r="C304" s="1125"/>
      <c r="D304" s="87">
        <f>'Membership Record'!G305+'Membership Record'!P305</f>
        <v>0</v>
      </c>
      <c r="E304" s="350">
        <f t="shared" si="31"/>
        <v>0</v>
      </c>
      <c r="F304" s="614">
        <f>'Membership Record'!H305+'Membership Record'!Q305</f>
        <v>0</v>
      </c>
      <c r="G304" s="615">
        <f t="shared" si="32"/>
        <v>0</v>
      </c>
      <c r="H304" s="614">
        <f>'Membership Record'!I305+'Membership Record'!R305</f>
        <v>0</v>
      </c>
      <c r="I304" s="616">
        <f t="shared" si="33"/>
        <v>0</v>
      </c>
      <c r="J304" s="614">
        <f>'Membership Record'!J305+'Membership Record'!S305</f>
        <v>0</v>
      </c>
      <c r="K304" s="618">
        <f t="shared" si="34"/>
        <v>0</v>
      </c>
      <c r="L304" s="618">
        <f>'Membership Record'!K305+'Membership Record'!T305</f>
        <v>0</v>
      </c>
      <c r="M304" s="615">
        <f t="shared" si="35"/>
        <v>0</v>
      </c>
      <c r="N304" s="614">
        <f>'Membership Record'!L305+'Membership Record'!U305</f>
        <v>0</v>
      </c>
      <c r="O304" s="619">
        <f t="shared" si="36"/>
        <v>0</v>
      </c>
      <c r="P304" s="346"/>
      <c r="Q304" s="93"/>
      <c r="R304" s="94"/>
      <c r="S304" s="94"/>
      <c r="T304" s="330"/>
      <c r="U304" s="347"/>
      <c r="V304" s="92"/>
      <c r="W304" s="94"/>
      <c r="X304" s="95"/>
      <c r="Y304" s="95"/>
      <c r="Z304" s="95"/>
      <c r="AA304" s="94"/>
      <c r="AB304" s="346"/>
      <c r="AC304" s="93"/>
      <c r="AD304" s="94"/>
      <c r="AE304" s="94"/>
      <c r="AF304" s="330"/>
      <c r="AG304" s="347"/>
      <c r="AH304" s="92"/>
      <c r="AI304" s="94"/>
      <c r="AJ304" s="95"/>
      <c r="AK304" s="95"/>
      <c r="AL304" s="95"/>
      <c r="AM304" s="94"/>
      <c r="AN304" s="346"/>
      <c r="AO304" s="93"/>
      <c r="AP304" s="94"/>
      <c r="AQ304" s="94"/>
      <c r="AR304" s="330"/>
      <c r="AS304" s="347"/>
      <c r="AT304" s="92"/>
      <c r="AU304" s="94"/>
      <c r="AV304" s="95"/>
      <c r="AW304" s="95"/>
      <c r="AX304" s="95"/>
      <c r="AY304" s="94"/>
      <c r="AZ304" s="346"/>
      <c r="BA304" s="93"/>
      <c r="BB304" s="94"/>
      <c r="BC304" s="94"/>
      <c r="BD304" s="330"/>
      <c r="BE304" s="347"/>
      <c r="BF304" s="92"/>
      <c r="BG304" s="94"/>
      <c r="BH304" s="95"/>
      <c r="BI304" s="95"/>
      <c r="BJ304" s="95"/>
      <c r="BK304" s="94"/>
      <c r="BL304" s="346"/>
      <c r="BM304" s="93"/>
      <c r="BN304" s="94"/>
      <c r="BO304" s="94"/>
      <c r="BP304" s="330"/>
      <c r="BQ304" s="347"/>
      <c r="BR304" s="92"/>
      <c r="BS304" s="94"/>
      <c r="BT304" s="95"/>
      <c r="BU304" s="95"/>
      <c r="BV304" s="95"/>
      <c r="BW304" s="94"/>
      <c r="BX304" s="346"/>
      <c r="BY304" s="93"/>
      <c r="BZ304" s="94"/>
      <c r="CA304" s="94"/>
      <c r="CB304" s="330"/>
      <c r="CC304" s="347"/>
      <c r="CD304" s="92"/>
      <c r="CE304" s="94"/>
      <c r="CF304" s="95"/>
      <c r="CG304" s="95"/>
      <c r="CH304" s="95"/>
      <c r="CI304" s="94"/>
    </row>
    <row r="305" spans="1:87" x14ac:dyDescent="0.2">
      <c r="A305" s="8">
        <v>296</v>
      </c>
      <c r="B305" s="1125">
        <f>'Membership Record'!B306</f>
        <v>0</v>
      </c>
      <c r="C305" s="1125"/>
      <c r="D305" s="87">
        <f>'Membership Record'!G306+'Membership Record'!P306</f>
        <v>0</v>
      </c>
      <c r="E305" s="350">
        <f t="shared" si="31"/>
        <v>0</v>
      </c>
      <c r="F305" s="614">
        <f>'Membership Record'!H306+'Membership Record'!Q306</f>
        <v>0</v>
      </c>
      <c r="G305" s="615">
        <f t="shared" si="32"/>
        <v>0</v>
      </c>
      <c r="H305" s="614">
        <f>'Membership Record'!I306+'Membership Record'!R306</f>
        <v>0</v>
      </c>
      <c r="I305" s="616">
        <f t="shared" si="33"/>
        <v>0</v>
      </c>
      <c r="J305" s="614">
        <f>'Membership Record'!J306+'Membership Record'!S306</f>
        <v>0</v>
      </c>
      <c r="K305" s="618">
        <f t="shared" si="34"/>
        <v>0</v>
      </c>
      <c r="L305" s="618">
        <f>'Membership Record'!K306+'Membership Record'!T306</f>
        <v>0</v>
      </c>
      <c r="M305" s="615">
        <f t="shared" si="35"/>
        <v>0</v>
      </c>
      <c r="N305" s="614">
        <f>'Membership Record'!L306+'Membership Record'!U306</f>
        <v>0</v>
      </c>
      <c r="O305" s="619">
        <f t="shared" si="36"/>
        <v>0</v>
      </c>
      <c r="P305" s="346"/>
      <c r="Q305" s="93"/>
      <c r="R305" s="94"/>
      <c r="S305" s="94"/>
      <c r="T305" s="330"/>
      <c r="U305" s="347"/>
      <c r="V305" s="92"/>
      <c r="W305" s="94"/>
      <c r="X305" s="95"/>
      <c r="Y305" s="95"/>
      <c r="Z305" s="95"/>
      <c r="AA305" s="94"/>
      <c r="AB305" s="346"/>
      <c r="AC305" s="93"/>
      <c r="AD305" s="94"/>
      <c r="AE305" s="94"/>
      <c r="AF305" s="330"/>
      <c r="AG305" s="347"/>
      <c r="AH305" s="92"/>
      <c r="AI305" s="94"/>
      <c r="AJ305" s="95"/>
      <c r="AK305" s="95"/>
      <c r="AL305" s="95"/>
      <c r="AM305" s="94"/>
      <c r="AN305" s="346"/>
      <c r="AO305" s="93"/>
      <c r="AP305" s="94"/>
      <c r="AQ305" s="94"/>
      <c r="AR305" s="330"/>
      <c r="AS305" s="347"/>
      <c r="AT305" s="92"/>
      <c r="AU305" s="94"/>
      <c r="AV305" s="95"/>
      <c r="AW305" s="95"/>
      <c r="AX305" s="95"/>
      <c r="AY305" s="94"/>
      <c r="AZ305" s="346"/>
      <c r="BA305" s="93"/>
      <c r="BB305" s="94"/>
      <c r="BC305" s="94"/>
      <c r="BD305" s="330"/>
      <c r="BE305" s="347"/>
      <c r="BF305" s="92"/>
      <c r="BG305" s="94"/>
      <c r="BH305" s="95"/>
      <c r="BI305" s="95"/>
      <c r="BJ305" s="95"/>
      <c r="BK305" s="94"/>
      <c r="BL305" s="346"/>
      <c r="BM305" s="93"/>
      <c r="BN305" s="94"/>
      <c r="BO305" s="94"/>
      <c r="BP305" s="330"/>
      <c r="BQ305" s="347"/>
      <c r="BR305" s="92"/>
      <c r="BS305" s="94"/>
      <c r="BT305" s="95"/>
      <c r="BU305" s="95"/>
      <c r="BV305" s="95"/>
      <c r="BW305" s="94"/>
      <c r="BX305" s="346"/>
      <c r="BY305" s="93"/>
      <c r="BZ305" s="94"/>
      <c r="CA305" s="94"/>
      <c r="CB305" s="330"/>
      <c r="CC305" s="347"/>
      <c r="CD305" s="92"/>
      <c r="CE305" s="94"/>
      <c r="CF305" s="95"/>
      <c r="CG305" s="95"/>
      <c r="CH305" s="95"/>
      <c r="CI305" s="94"/>
    </row>
    <row r="306" spans="1:87" x14ac:dyDescent="0.2">
      <c r="A306" s="8">
        <v>297</v>
      </c>
      <c r="B306" s="1125">
        <f>'Membership Record'!B307</f>
        <v>0</v>
      </c>
      <c r="C306" s="1125"/>
      <c r="D306" s="87">
        <f>'Membership Record'!G307+'Membership Record'!P307</f>
        <v>0</v>
      </c>
      <c r="E306" s="350">
        <f t="shared" si="31"/>
        <v>0</v>
      </c>
      <c r="F306" s="614">
        <f>'Membership Record'!H307+'Membership Record'!Q307</f>
        <v>0</v>
      </c>
      <c r="G306" s="615">
        <f t="shared" si="32"/>
        <v>0</v>
      </c>
      <c r="H306" s="614">
        <f>'Membership Record'!I307+'Membership Record'!R307</f>
        <v>0</v>
      </c>
      <c r="I306" s="616">
        <f t="shared" si="33"/>
        <v>0</v>
      </c>
      <c r="J306" s="614">
        <f>'Membership Record'!J307+'Membership Record'!S307</f>
        <v>0</v>
      </c>
      <c r="K306" s="618">
        <f t="shared" si="34"/>
        <v>0</v>
      </c>
      <c r="L306" s="618">
        <f>'Membership Record'!K307+'Membership Record'!T307</f>
        <v>0</v>
      </c>
      <c r="M306" s="615">
        <f t="shared" si="35"/>
        <v>0</v>
      </c>
      <c r="N306" s="614">
        <f>'Membership Record'!L307+'Membership Record'!U307</f>
        <v>0</v>
      </c>
      <c r="O306" s="619">
        <f t="shared" si="36"/>
        <v>0</v>
      </c>
      <c r="P306" s="346"/>
      <c r="Q306" s="93"/>
      <c r="R306" s="94"/>
      <c r="S306" s="94"/>
      <c r="T306" s="330"/>
      <c r="U306" s="347"/>
      <c r="V306" s="92"/>
      <c r="W306" s="94"/>
      <c r="X306" s="95"/>
      <c r="Y306" s="95"/>
      <c r="Z306" s="95"/>
      <c r="AA306" s="94"/>
      <c r="AB306" s="346"/>
      <c r="AC306" s="93"/>
      <c r="AD306" s="94"/>
      <c r="AE306" s="94"/>
      <c r="AF306" s="330"/>
      <c r="AG306" s="347"/>
      <c r="AH306" s="92"/>
      <c r="AI306" s="94"/>
      <c r="AJ306" s="95"/>
      <c r="AK306" s="95"/>
      <c r="AL306" s="95"/>
      <c r="AM306" s="94"/>
      <c r="AN306" s="346"/>
      <c r="AO306" s="93"/>
      <c r="AP306" s="94"/>
      <c r="AQ306" s="94"/>
      <c r="AR306" s="330"/>
      <c r="AS306" s="347"/>
      <c r="AT306" s="92"/>
      <c r="AU306" s="94"/>
      <c r="AV306" s="95"/>
      <c r="AW306" s="95"/>
      <c r="AX306" s="95"/>
      <c r="AY306" s="94"/>
      <c r="AZ306" s="346"/>
      <c r="BA306" s="93"/>
      <c r="BB306" s="94"/>
      <c r="BC306" s="94"/>
      <c r="BD306" s="330"/>
      <c r="BE306" s="347"/>
      <c r="BF306" s="92"/>
      <c r="BG306" s="94"/>
      <c r="BH306" s="95"/>
      <c r="BI306" s="95"/>
      <c r="BJ306" s="95"/>
      <c r="BK306" s="94"/>
      <c r="BL306" s="346"/>
      <c r="BM306" s="93"/>
      <c r="BN306" s="94"/>
      <c r="BO306" s="94"/>
      <c r="BP306" s="330"/>
      <c r="BQ306" s="347"/>
      <c r="BR306" s="92"/>
      <c r="BS306" s="94"/>
      <c r="BT306" s="95"/>
      <c r="BU306" s="95"/>
      <c r="BV306" s="95"/>
      <c r="BW306" s="94"/>
      <c r="BX306" s="346"/>
      <c r="BY306" s="93"/>
      <c r="BZ306" s="94"/>
      <c r="CA306" s="94"/>
      <c r="CB306" s="330"/>
      <c r="CC306" s="347"/>
      <c r="CD306" s="92"/>
      <c r="CE306" s="94"/>
      <c r="CF306" s="95"/>
      <c r="CG306" s="95"/>
      <c r="CH306" s="95"/>
      <c r="CI306" s="94"/>
    </row>
    <row r="307" spans="1:87" x14ac:dyDescent="0.2">
      <c r="A307" s="8">
        <v>298</v>
      </c>
      <c r="B307" s="1125">
        <f>'Membership Record'!B308</f>
        <v>0</v>
      </c>
      <c r="C307" s="1125"/>
      <c r="D307" s="87">
        <f>'Membership Record'!G308+'Membership Record'!P308</f>
        <v>0</v>
      </c>
      <c r="E307" s="350">
        <f t="shared" si="31"/>
        <v>0</v>
      </c>
      <c r="F307" s="614">
        <f>'Membership Record'!H308+'Membership Record'!Q308</f>
        <v>0</v>
      </c>
      <c r="G307" s="615">
        <f t="shared" si="32"/>
        <v>0</v>
      </c>
      <c r="H307" s="614">
        <f>'Membership Record'!I308+'Membership Record'!R308</f>
        <v>0</v>
      </c>
      <c r="I307" s="616">
        <f t="shared" si="33"/>
        <v>0</v>
      </c>
      <c r="J307" s="614">
        <f>'Membership Record'!J308+'Membership Record'!S308</f>
        <v>0</v>
      </c>
      <c r="K307" s="618">
        <f t="shared" si="34"/>
        <v>0</v>
      </c>
      <c r="L307" s="618">
        <f>'Membership Record'!K308+'Membership Record'!T308</f>
        <v>0</v>
      </c>
      <c r="M307" s="615">
        <f t="shared" si="35"/>
        <v>0</v>
      </c>
      <c r="N307" s="614">
        <f>'Membership Record'!L308+'Membership Record'!U308</f>
        <v>0</v>
      </c>
      <c r="O307" s="619">
        <f t="shared" si="36"/>
        <v>0</v>
      </c>
      <c r="P307" s="346"/>
      <c r="Q307" s="93"/>
      <c r="R307" s="94"/>
      <c r="S307" s="94"/>
      <c r="T307" s="330"/>
      <c r="U307" s="347"/>
      <c r="V307" s="92"/>
      <c r="W307" s="94"/>
      <c r="X307" s="95"/>
      <c r="Y307" s="95"/>
      <c r="Z307" s="95"/>
      <c r="AA307" s="94"/>
      <c r="AB307" s="346"/>
      <c r="AC307" s="93"/>
      <c r="AD307" s="94"/>
      <c r="AE307" s="94"/>
      <c r="AF307" s="330"/>
      <c r="AG307" s="347"/>
      <c r="AH307" s="92"/>
      <c r="AI307" s="94"/>
      <c r="AJ307" s="95"/>
      <c r="AK307" s="95"/>
      <c r="AL307" s="95"/>
      <c r="AM307" s="94"/>
      <c r="AN307" s="346"/>
      <c r="AO307" s="93"/>
      <c r="AP307" s="94"/>
      <c r="AQ307" s="94"/>
      <c r="AR307" s="330"/>
      <c r="AS307" s="347"/>
      <c r="AT307" s="92"/>
      <c r="AU307" s="94"/>
      <c r="AV307" s="95"/>
      <c r="AW307" s="95"/>
      <c r="AX307" s="95"/>
      <c r="AY307" s="94"/>
      <c r="AZ307" s="346"/>
      <c r="BA307" s="93"/>
      <c r="BB307" s="94"/>
      <c r="BC307" s="94"/>
      <c r="BD307" s="330"/>
      <c r="BE307" s="347"/>
      <c r="BF307" s="92"/>
      <c r="BG307" s="94"/>
      <c r="BH307" s="95"/>
      <c r="BI307" s="95"/>
      <c r="BJ307" s="95"/>
      <c r="BK307" s="94"/>
      <c r="BL307" s="346"/>
      <c r="BM307" s="93"/>
      <c r="BN307" s="94"/>
      <c r="BO307" s="94"/>
      <c r="BP307" s="330"/>
      <c r="BQ307" s="347"/>
      <c r="BR307" s="92"/>
      <c r="BS307" s="94"/>
      <c r="BT307" s="95"/>
      <c r="BU307" s="95"/>
      <c r="BV307" s="95"/>
      <c r="BW307" s="94"/>
      <c r="BX307" s="346"/>
      <c r="BY307" s="93"/>
      <c r="BZ307" s="94"/>
      <c r="CA307" s="94"/>
      <c r="CB307" s="330"/>
      <c r="CC307" s="347"/>
      <c r="CD307" s="92"/>
      <c r="CE307" s="94"/>
      <c r="CF307" s="95"/>
      <c r="CG307" s="95"/>
      <c r="CH307" s="95"/>
      <c r="CI307" s="94"/>
    </row>
    <row r="308" spans="1:87" x14ac:dyDescent="0.2">
      <c r="A308" s="8">
        <v>299</v>
      </c>
      <c r="B308" s="1125">
        <f>'Membership Record'!B309</f>
        <v>0</v>
      </c>
      <c r="C308" s="1125"/>
      <c r="D308" s="87">
        <f>'Membership Record'!G309+'Membership Record'!P309</f>
        <v>0</v>
      </c>
      <c r="E308" s="350">
        <f t="shared" si="31"/>
        <v>0</v>
      </c>
      <c r="F308" s="614">
        <f>'Membership Record'!H309+'Membership Record'!Q309</f>
        <v>0</v>
      </c>
      <c r="G308" s="615">
        <f t="shared" si="32"/>
        <v>0</v>
      </c>
      <c r="H308" s="614">
        <f>'Membership Record'!I309+'Membership Record'!R309</f>
        <v>0</v>
      </c>
      <c r="I308" s="616">
        <f t="shared" si="33"/>
        <v>0</v>
      </c>
      <c r="J308" s="614">
        <f>'Membership Record'!J309+'Membership Record'!S309</f>
        <v>0</v>
      </c>
      <c r="K308" s="618">
        <f t="shared" si="34"/>
        <v>0</v>
      </c>
      <c r="L308" s="618">
        <f>'Membership Record'!K309+'Membership Record'!T309</f>
        <v>0</v>
      </c>
      <c r="M308" s="615">
        <f t="shared" si="35"/>
        <v>0</v>
      </c>
      <c r="N308" s="614">
        <f>'Membership Record'!L309+'Membership Record'!U309</f>
        <v>0</v>
      </c>
      <c r="O308" s="619">
        <f t="shared" si="36"/>
        <v>0</v>
      </c>
      <c r="P308" s="346"/>
      <c r="Q308" s="93"/>
      <c r="R308" s="94"/>
      <c r="S308" s="94"/>
      <c r="T308" s="330"/>
      <c r="U308" s="347"/>
      <c r="V308" s="92"/>
      <c r="W308" s="94"/>
      <c r="X308" s="95"/>
      <c r="Y308" s="95"/>
      <c r="Z308" s="95"/>
      <c r="AA308" s="94"/>
      <c r="AB308" s="346"/>
      <c r="AC308" s="93"/>
      <c r="AD308" s="94"/>
      <c r="AE308" s="94"/>
      <c r="AF308" s="330"/>
      <c r="AG308" s="347"/>
      <c r="AH308" s="92"/>
      <c r="AI308" s="94"/>
      <c r="AJ308" s="95"/>
      <c r="AK308" s="95"/>
      <c r="AL308" s="95"/>
      <c r="AM308" s="94"/>
      <c r="AN308" s="346"/>
      <c r="AO308" s="93"/>
      <c r="AP308" s="94"/>
      <c r="AQ308" s="94"/>
      <c r="AR308" s="330"/>
      <c r="AS308" s="347"/>
      <c r="AT308" s="92"/>
      <c r="AU308" s="94"/>
      <c r="AV308" s="95"/>
      <c r="AW308" s="95"/>
      <c r="AX308" s="95"/>
      <c r="AY308" s="94"/>
      <c r="AZ308" s="346"/>
      <c r="BA308" s="93"/>
      <c r="BB308" s="94"/>
      <c r="BC308" s="94"/>
      <c r="BD308" s="330"/>
      <c r="BE308" s="347"/>
      <c r="BF308" s="92"/>
      <c r="BG308" s="94"/>
      <c r="BH308" s="95"/>
      <c r="BI308" s="95"/>
      <c r="BJ308" s="95"/>
      <c r="BK308" s="94"/>
      <c r="BL308" s="346"/>
      <c r="BM308" s="93"/>
      <c r="BN308" s="94"/>
      <c r="BO308" s="94"/>
      <c r="BP308" s="330"/>
      <c r="BQ308" s="347"/>
      <c r="BR308" s="92"/>
      <c r="BS308" s="94"/>
      <c r="BT308" s="95"/>
      <c r="BU308" s="95"/>
      <c r="BV308" s="95"/>
      <c r="BW308" s="94"/>
      <c r="BX308" s="346"/>
      <c r="BY308" s="93"/>
      <c r="BZ308" s="94"/>
      <c r="CA308" s="94"/>
      <c r="CB308" s="330"/>
      <c r="CC308" s="347"/>
      <c r="CD308" s="92"/>
      <c r="CE308" s="94"/>
      <c r="CF308" s="95"/>
      <c r="CG308" s="95"/>
      <c r="CH308" s="95"/>
      <c r="CI308" s="94"/>
    </row>
    <row r="309" spans="1:87" x14ac:dyDescent="0.2">
      <c r="A309" s="8">
        <v>300</v>
      </c>
      <c r="B309" s="1124">
        <f>'Membership Record'!B310</f>
        <v>0</v>
      </c>
      <c r="C309" s="1124"/>
      <c r="D309" s="87">
        <f>'Membership Record'!G310+'Membership Record'!P310</f>
        <v>0</v>
      </c>
      <c r="E309" s="350">
        <f t="shared" si="31"/>
        <v>0</v>
      </c>
      <c r="F309" s="614">
        <f>'Membership Record'!H310+'Membership Record'!Q310</f>
        <v>0</v>
      </c>
      <c r="G309" s="615">
        <f t="shared" si="32"/>
        <v>0</v>
      </c>
      <c r="H309" s="614">
        <f>'Membership Record'!I310+'Membership Record'!R310</f>
        <v>0</v>
      </c>
      <c r="I309" s="617">
        <f t="shared" si="33"/>
        <v>0</v>
      </c>
      <c r="J309" s="614">
        <f>'Membership Record'!J310+'Membership Record'!S310</f>
        <v>0</v>
      </c>
      <c r="K309" s="618">
        <f t="shared" si="34"/>
        <v>0</v>
      </c>
      <c r="L309" s="618">
        <f>'Membership Record'!K310+'Membership Record'!T310</f>
        <v>0</v>
      </c>
      <c r="M309" s="615">
        <f t="shared" si="35"/>
        <v>0</v>
      </c>
      <c r="N309" s="614">
        <f>'Membership Record'!L310+'Membership Record'!U310</f>
        <v>0</v>
      </c>
      <c r="O309" s="619">
        <f t="shared" si="36"/>
        <v>0</v>
      </c>
      <c r="P309" s="348"/>
      <c r="Q309" s="97"/>
      <c r="R309" s="98"/>
      <c r="S309" s="98"/>
      <c r="T309" s="331"/>
      <c r="U309" s="349"/>
      <c r="V309" s="96"/>
      <c r="W309" s="98"/>
      <c r="X309" s="99"/>
      <c r="Y309" s="99"/>
      <c r="Z309" s="99"/>
      <c r="AA309" s="98"/>
      <c r="AB309" s="348"/>
      <c r="AC309" s="97"/>
      <c r="AD309" s="98"/>
      <c r="AE309" s="98"/>
      <c r="AF309" s="331"/>
      <c r="AG309" s="349"/>
      <c r="AH309" s="96"/>
      <c r="AI309" s="98"/>
      <c r="AJ309" s="99"/>
      <c r="AK309" s="99"/>
      <c r="AL309" s="99"/>
      <c r="AM309" s="98"/>
      <c r="AN309" s="348"/>
      <c r="AO309" s="97"/>
      <c r="AP309" s="98"/>
      <c r="AQ309" s="98"/>
      <c r="AR309" s="331"/>
      <c r="AS309" s="349"/>
      <c r="AT309" s="96"/>
      <c r="AU309" s="98"/>
      <c r="AV309" s="99"/>
      <c r="AW309" s="99"/>
      <c r="AX309" s="99"/>
      <c r="AY309" s="98"/>
      <c r="AZ309" s="348"/>
      <c r="BA309" s="97"/>
      <c r="BB309" s="98"/>
      <c r="BC309" s="98"/>
      <c r="BD309" s="331"/>
      <c r="BE309" s="349"/>
      <c r="BF309" s="96"/>
      <c r="BG309" s="98"/>
      <c r="BH309" s="99"/>
      <c r="BI309" s="99"/>
      <c r="BJ309" s="99"/>
      <c r="BK309" s="98"/>
      <c r="BL309" s="348"/>
      <c r="BM309" s="97"/>
      <c r="BN309" s="98"/>
      <c r="BO309" s="98"/>
      <c r="BP309" s="331"/>
      <c r="BQ309" s="349"/>
      <c r="BR309" s="96"/>
      <c r="BS309" s="98"/>
      <c r="BT309" s="99"/>
      <c r="BU309" s="99"/>
      <c r="BV309" s="99"/>
      <c r="BW309" s="98"/>
      <c r="BX309" s="348"/>
      <c r="BY309" s="97"/>
      <c r="BZ309" s="98"/>
      <c r="CA309" s="98"/>
      <c r="CB309" s="331"/>
      <c r="CC309" s="349"/>
      <c r="CD309" s="96"/>
      <c r="CE309" s="98"/>
      <c r="CF309" s="99"/>
      <c r="CG309" s="99"/>
      <c r="CH309" s="99"/>
      <c r="CI309" s="98"/>
    </row>
  </sheetData>
  <sheetProtection password="CC6F" sheet="1" objects="1" scenarios="1" formatColumns="0" selectLockedCells="1"/>
  <mergeCells count="474">
    <mergeCell ref="AN3:AP3"/>
    <mergeCell ref="AH3:AJ3"/>
    <mergeCell ref="AK3:AL3"/>
    <mergeCell ref="AH4:AJ4"/>
    <mergeCell ref="AK4:AL4"/>
    <mergeCell ref="AH5:AJ5"/>
    <mergeCell ref="AK5:AL5"/>
    <mergeCell ref="AB3:AD3"/>
    <mergeCell ref="AE3:AF3"/>
    <mergeCell ref="AB4:AD4"/>
    <mergeCell ref="AE4:AF4"/>
    <mergeCell ref="AB5:AD5"/>
    <mergeCell ref="AE5:AF5"/>
    <mergeCell ref="BR5:BT5"/>
    <mergeCell ref="BU5:BV5"/>
    <mergeCell ref="BL3:BN3"/>
    <mergeCell ref="BO3:BP3"/>
    <mergeCell ref="BL4:BN4"/>
    <mergeCell ref="BO4:BP4"/>
    <mergeCell ref="BL5:BN5"/>
    <mergeCell ref="BO5:BP5"/>
    <mergeCell ref="BF3:BH3"/>
    <mergeCell ref="BI3:BJ3"/>
    <mergeCell ref="BF4:BH4"/>
    <mergeCell ref="BI4:BJ4"/>
    <mergeCell ref="BF5:BH5"/>
    <mergeCell ref="BI5:BJ5"/>
    <mergeCell ref="BR4:BT4"/>
    <mergeCell ref="BU4:BV4"/>
    <mergeCell ref="CD5:CF5"/>
    <mergeCell ref="CD4:CF4"/>
    <mergeCell ref="CG4:CH4"/>
    <mergeCell ref="CG5:CH5"/>
    <mergeCell ref="BX3:BZ3"/>
    <mergeCell ref="CA3:CB3"/>
    <mergeCell ref="BX4:BZ4"/>
    <mergeCell ref="CA4:CB4"/>
    <mergeCell ref="BX5:BZ5"/>
    <mergeCell ref="CA5:CB5"/>
    <mergeCell ref="AZ1:BE2"/>
    <mergeCell ref="BF1:BK2"/>
    <mergeCell ref="BL1:BQ2"/>
    <mergeCell ref="BR1:BW2"/>
    <mergeCell ref="BX1:CC2"/>
    <mergeCell ref="CD1:CI2"/>
    <mergeCell ref="CD3:CF3"/>
    <mergeCell ref="CG3:CH3"/>
    <mergeCell ref="BR3:BT3"/>
    <mergeCell ref="BU3:BV3"/>
    <mergeCell ref="AZ3:BB3"/>
    <mergeCell ref="BC3:BD3"/>
    <mergeCell ref="AT6:AV6"/>
    <mergeCell ref="AT7:AV7"/>
    <mergeCell ref="AZ6:BB6"/>
    <mergeCell ref="AZ5:BB5"/>
    <mergeCell ref="BC5:BD5"/>
    <mergeCell ref="BC7:BD7"/>
    <mergeCell ref="AQ5:AR5"/>
    <mergeCell ref="V5:X5"/>
    <mergeCell ref="Y5:Z5"/>
    <mergeCell ref="V6:X6"/>
    <mergeCell ref="V7:X7"/>
    <mergeCell ref="AB6:AD6"/>
    <mergeCell ref="AB7:AD7"/>
    <mergeCell ref="AH6:AJ6"/>
    <mergeCell ref="AH7:AJ7"/>
    <mergeCell ref="AN5:AP5"/>
    <mergeCell ref="CG6:CH6"/>
    <mergeCell ref="CG7:CH7"/>
    <mergeCell ref="BU6:BV6"/>
    <mergeCell ref="BU7:BV7"/>
    <mergeCell ref="CA6:CB6"/>
    <mergeCell ref="CA7:CB7"/>
    <mergeCell ref="CD7:CF7"/>
    <mergeCell ref="CD6:CF6"/>
    <mergeCell ref="AZ7:BB7"/>
    <mergeCell ref="BF6:BH6"/>
    <mergeCell ref="BF7:BH7"/>
    <mergeCell ref="BL6:BN6"/>
    <mergeCell ref="BL7:BN7"/>
    <mergeCell ref="BR6:BT6"/>
    <mergeCell ref="BR7:BT7"/>
    <mergeCell ref="BX6:BZ6"/>
    <mergeCell ref="BX7:BZ7"/>
    <mergeCell ref="BC6:BD6"/>
    <mergeCell ref="BI7:BJ7"/>
    <mergeCell ref="BO6:BP6"/>
    <mergeCell ref="BO7:BP7"/>
    <mergeCell ref="BI6:BJ6"/>
    <mergeCell ref="P1:U2"/>
    <mergeCell ref="V1:AA2"/>
    <mergeCell ref="AB1:AG2"/>
    <mergeCell ref="AH1:AM2"/>
    <mergeCell ref="AN1:AS2"/>
    <mergeCell ref="AT1:AY2"/>
    <mergeCell ref="Y6:Z6"/>
    <mergeCell ref="Y7:Z7"/>
    <mergeCell ref="AE6:AF6"/>
    <mergeCell ref="AE7:AF7"/>
    <mergeCell ref="AK6:AL6"/>
    <mergeCell ref="AK7:AL7"/>
    <mergeCell ref="AQ6:AR6"/>
    <mergeCell ref="AQ7:AR7"/>
    <mergeCell ref="AW6:AX6"/>
    <mergeCell ref="AW7:AX7"/>
    <mergeCell ref="AT3:AV3"/>
    <mergeCell ref="AW3:AX3"/>
    <mergeCell ref="AT4:AV4"/>
    <mergeCell ref="AW4:AX4"/>
    <mergeCell ref="AT5:AV5"/>
    <mergeCell ref="AW5:AX5"/>
    <mergeCell ref="P6:R6"/>
    <mergeCell ref="P7:R7"/>
    <mergeCell ref="B14:C14"/>
    <mergeCell ref="B15:C15"/>
    <mergeCell ref="B16:C16"/>
    <mergeCell ref="B17:C17"/>
    <mergeCell ref="B18:C18"/>
    <mergeCell ref="B9:C9"/>
    <mergeCell ref="B10:C10"/>
    <mergeCell ref="B11:C11"/>
    <mergeCell ref="B12:C12"/>
    <mergeCell ref="B13:C1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64:C64"/>
    <mergeCell ref="B65:C65"/>
    <mergeCell ref="B66:C66"/>
    <mergeCell ref="B67:C67"/>
    <mergeCell ref="B68:C68"/>
    <mergeCell ref="B59:C59"/>
    <mergeCell ref="B60:C60"/>
    <mergeCell ref="B61:C61"/>
    <mergeCell ref="B62:C62"/>
    <mergeCell ref="B63:C6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84:C84"/>
    <mergeCell ref="B85:C85"/>
    <mergeCell ref="B86:C86"/>
    <mergeCell ref="B87:C87"/>
    <mergeCell ref="B88:C88"/>
    <mergeCell ref="B79:C79"/>
    <mergeCell ref="B80:C80"/>
    <mergeCell ref="B81:C81"/>
    <mergeCell ref="B82:C82"/>
    <mergeCell ref="B83:C8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104:C104"/>
    <mergeCell ref="B105:C105"/>
    <mergeCell ref="B106:C106"/>
    <mergeCell ref="B107:C107"/>
    <mergeCell ref="B108:C108"/>
    <mergeCell ref="B99:C99"/>
    <mergeCell ref="B100:C100"/>
    <mergeCell ref="B101:C101"/>
    <mergeCell ref="B102:C102"/>
    <mergeCell ref="B103:C103"/>
    <mergeCell ref="B114:C114"/>
    <mergeCell ref="B115:C115"/>
    <mergeCell ref="B116:C116"/>
    <mergeCell ref="B117:C117"/>
    <mergeCell ref="B118:C118"/>
    <mergeCell ref="B109:C109"/>
    <mergeCell ref="B110:C110"/>
    <mergeCell ref="B111:C111"/>
    <mergeCell ref="B112:C112"/>
    <mergeCell ref="B113:C113"/>
    <mergeCell ref="B124:C124"/>
    <mergeCell ref="B125:C125"/>
    <mergeCell ref="B126:C126"/>
    <mergeCell ref="B127:C127"/>
    <mergeCell ref="B128:C128"/>
    <mergeCell ref="B119:C119"/>
    <mergeCell ref="B120:C120"/>
    <mergeCell ref="B121:C121"/>
    <mergeCell ref="B122:C122"/>
    <mergeCell ref="B123:C123"/>
    <mergeCell ref="B134:C134"/>
    <mergeCell ref="B135:C135"/>
    <mergeCell ref="B136:C136"/>
    <mergeCell ref="B137:C137"/>
    <mergeCell ref="B138:C138"/>
    <mergeCell ref="B129:C129"/>
    <mergeCell ref="B130:C130"/>
    <mergeCell ref="B131:C131"/>
    <mergeCell ref="B132:C132"/>
    <mergeCell ref="B133:C133"/>
    <mergeCell ref="B144:C144"/>
    <mergeCell ref="B145:C145"/>
    <mergeCell ref="B146:C146"/>
    <mergeCell ref="B147:C147"/>
    <mergeCell ref="B148:C148"/>
    <mergeCell ref="B139:C139"/>
    <mergeCell ref="B140:C140"/>
    <mergeCell ref="B141:C141"/>
    <mergeCell ref="B142:C142"/>
    <mergeCell ref="B143:C143"/>
    <mergeCell ref="B154:C154"/>
    <mergeCell ref="B155:C155"/>
    <mergeCell ref="B156:C156"/>
    <mergeCell ref="B157:C157"/>
    <mergeCell ref="B158:C158"/>
    <mergeCell ref="B149:C149"/>
    <mergeCell ref="B150:C150"/>
    <mergeCell ref="B151:C151"/>
    <mergeCell ref="B152:C152"/>
    <mergeCell ref="B153:C153"/>
    <mergeCell ref="B164:C164"/>
    <mergeCell ref="B165:C165"/>
    <mergeCell ref="B166:C166"/>
    <mergeCell ref="B167:C167"/>
    <mergeCell ref="B168:C168"/>
    <mergeCell ref="B159:C159"/>
    <mergeCell ref="B160:C160"/>
    <mergeCell ref="B161:C161"/>
    <mergeCell ref="B162:C162"/>
    <mergeCell ref="B163:C163"/>
    <mergeCell ref="B174:C174"/>
    <mergeCell ref="B175:C175"/>
    <mergeCell ref="B176:C176"/>
    <mergeCell ref="B177:C177"/>
    <mergeCell ref="B178:C178"/>
    <mergeCell ref="B169:C169"/>
    <mergeCell ref="B170:C170"/>
    <mergeCell ref="B171:C171"/>
    <mergeCell ref="B172:C172"/>
    <mergeCell ref="B173:C173"/>
    <mergeCell ref="B184:C184"/>
    <mergeCell ref="B185:C185"/>
    <mergeCell ref="B186:C186"/>
    <mergeCell ref="B187:C187"/>
    <mergeCell ref="B188:C188"/>
    <mergeCell ref="B179:C179"/>
    <mergeCell ref="B180:C180"/>
    <mergeCell ref="B181:C181"/>
    <mergeCell ref="B182:C182"/>
    <mergeCell ref="B183:C183"/>
    <mergeCell ref="B194:C194"/>
    <mergeCell ref="B195:C195"/>
    <mergeCell ref="B196:C196"/>
    <mergeCell ref="B197:C197"/>
    <mergeCell ref="B198:C198"/>
    <mergeCell ref="B189:C189"/>
    <mergeCell ref="B190:C190"/>
    <mergeCell ref="B191:C191"/>
    <mergeCell ref="B192:C192"/>
    <mergeCell ref="B193:C193"/>
    <mergeCell ref="B204:C204"/>
    <mergeCell ref="B205:C205"/>
    <mergeCell ref="B206:C206"/>
    <mergeCell ref="B207:C207"/>
    <mergeCell ref="B208:C208"/>
    <mergeCell ref="B199:C199"/>
    <mergeCell ref="B200:C200"/>
    <mergeCell ref="B201:C201"/>
    <mergeCell ref="B202:C202"/>
    <mergeCell ref="B203:C203"/>
    <mergeCell ref="B214:C214"/>
    <mergeCell ref="B215:C215"/>
    <mergeCell ref="B216:C216"/>
    <mergeCell ref="B217:C217"/>
    <mergeCell ref="B218:C218"/>
    <mergeCell ref="B209:C209"/>
    <mergeCell ref="B210:C210"/>
    <mergeCell ref="B211:C211"/>
    <mergeCell ref="B212:C212"/>
    <mergeCell ref="B213:C213"/>
    <mergeCell ref="B224:C224"/>
    <mergeCell ref="B225:C225"/>
    <mergeCell ref="B226:C226"/>
    <mergeCell ref="B227:C227"/>
    <mergeCell ref="B228:C228"/>
    <mergeCell ref="B219:C219"/>
    <mergeCell ref="B220:C220"/>
    <mergeCell ref="B221:C221"/>
    <mergeCell ref="B222:C222"/>
    <mergeCell ref="B223:C223"/>
    <mergeCell ref="B234:C234"/>
    <mergeCell ref="B235:C235"/>
    <mergeCell ref="B236:C236"/>
    <mergeCell ref="B237:C237"/>
    <mergeCell ref="B238:C238"/>
    <mergeCell ref="B229:C229"/>
    <mergeCell ref="B230:C230"/>
    <mergeCell ref="B231:C231"/>
    <mergeCell ref="B232:C232"/>
    <mergeCell ref="B233:C233"/>
    <mergeCell ref="B244:C244"/>
    <mergeCell ref="B245:C245"/>
    <mergeCell ref="B246:C246"/>
    <mergeCell ref="B247:C247"/>
    <mergeCell ref="B248:C248"/>
    <mergeCell ref="B239:C239"/>
    <mergeCell ref="B240:C240"/>
    <mergeCell ref="B241:C241"/>
    <mergeCell ref="B242:C242"/>
    <mergeCell ref="B243:C243"/>
    <mergeCell ref="B254:C254"/>
    <mergeCell ref="B255:C255"/>
    <mergeCell ref="B256:C256"/>
    <mergeCell ref="B257:C257"/>
    <mergeCell ref="B258:C258"/>
    <mergeCell ref="B249:C249"/>
    <mergeCell ref="B250:C250"/>
    <mergeCell ref="B251:C251"/>
    <mergeCell ref="B252:C252"/>
    <mergeCell ref="B253:C253"/>
    <mergeCell ref="B264:C264"/>
    <mergeCell ref="B265:C265"/>
    <mergeCell ref="B266:C266"/>
    <mergeCell ref="B267:C267"/>
    <mergeCell ref="B268:C268"/>
    <mergeCell ref="B259:C259"/>
    <mergeCell ref="B260:C260"/>
    <mergeCell ref="B261:C261"/>
    <mergeCell ref="B262:C262"/>
    <mergeCell ref="B263:C263"/>
    <mergeCell ref="B274:C274"/>
    <mergeCell ref="B275:C275"/>
    <mergeCell ref="B276:C276"/>
    <mergeCell ref="B277:C277"/>
    <mergeCell ref="B278:C278"/>
    <mergeCell ref="B269:C269"/>
    <mergeCell ref="B270:C270"/>
    <mergeCell ref="B271:C271"/>
    <mergeCell ref="B272:C272"/>
    <mergeCell ref="B273:C273"/>
    <mergeCell ref="B285:C285"/>
    <mergeCell ref="B286:C286"/>
    <mergeCell ref="B287:C287"/>
    <mergeCell ref="B288:C288"/>
    <mergeCell ref="B279:C279"/>
    <mergeCell ref="B280:C280"/>
    <mergeCell ref="B281:C281"/>
    <mergeCell ref="B282:C282"/>
    <mergeCell ref="B283:C283"/>
    <mergeCell ref="AZ4:BB4"/>
    <mergeCell ref="BC4:BD4"/>
    <mergeCell ref="B309:C309"/>
    <mergeCell ref="B304:C304"/>
    <mergeCell ref="B305:C305"/>
    <mergeCell ref="B306:C306"/>
    <mergeCell ref="B307:C307"/>
    <mergeCell ref="B308:C308"/>
    <mergeCell ref="B299:C299"/>
    <mergeCell ref="B300:C300"/>
    <mergeCell ref="B301:C301"/>
    <mergeCell ref="B302:C302"/>
    <mergeCell ref="B303:C303"/>
    <mergeCell ref="B294:C294"/>
    <mergeCell ref="B295:C295"/>
    <mergeCell ref="B296:C296"/>
    <mergeCell ref="B297:C297"/>
    <mergeCell ref="B298:C298"/>
    <mergeCell ref="B289:C289"/>
    <mergeCell ref="B290:C290"/>
    <mergeCell ref="B291:C291"/>
    <mergeCell ref="B292:C292"/>
    <mergeCell ref="B293:C293"/>
    <mergeCell ref="B284:C284"/>
    <mergeCell ref="I7:I8"/>
    <mergeCell ref="J7:J8"/>
    <mergeCell ref="K7:K8"/>
    <mergeCell ref="L7:L8"/>
    <mergeCell ref="H5:I5"/>
    <mergeCell ref="F5:G5"/>
    <mergeCell ref="D5:E5"/>
    <mergeCell ref="AQ3:AR3"/>
    <mergeCell ref="AN4:AP4"/>
    <mergeCell ref="AQ4:AR4"/>
    <mergeCell ref="V3:X3"/>
    <mergeCell ref="Y3:Z3"/>
    <mergeCell ref="V4:X4"/>
    <mergeCell ref="Y4:Z4"/>
    <mergeCell ref="S6:T6"/>
    <mergeCell ref="S7:T7"/>
    <mergeCell ref="AN6:AP6"/>
    <mergeCell ref="AN7:AP7"/>
    <mergeCell ref="P3:R3"/>
    <mergeCell ref="S3:T3"/>
    <mergeCell ref="P4:R4"/>
    <mergeCell ref="S4:T4"/>
    <mergeCell ref="P5:R5"/>
    <mergeCell ref="S5:T5"/>
    <mergeCell ref="A7:C8"/>
    <mergeCell ref="M7:M8"/>
    <mergeCell ref="N7:N8"/>
    <mergeCell ref="O7:O8"/>
    <mergeCell ref="D3:E3"/>
    <mergeCell ref="F3:G3"/>
    <mergeCell ref="H3:I3"/>
    <mergeCell ref="J3:K3"/>
    <mergeCell ref="L3:M3"/>
    <mergeCell ref="N3:O3"/>
    <mergeCell ref="D4:E4"/>
    <mergeCell ref="F4:G4"/>
    <mergeCell ref="H4:I4"/>
    <mergeCell ref="J4:K4"/>
    <mergeCell ref="L4:M4"/>
    <mergeCell ref="N4:O4"/>
    <mergeCell ref="N5:O5"/>
    <mergeCell ref="L5:M5"/>
    <mergeCell ref="J5:K5"/>
    <mergeCell ref="D7:D8"/>
    <mergeCell ref="E7:E8"/>
    <mergeCell ref="F7:F8"/>
    <mergeCell ref="G7:G8"/>
    <mergeCell ref="H7:H8"/>
    <mergeCell ref="N1:O2"/>
    <mergeCell ref="L1:M2"/>
    <mergeCell ref="J1:K2"/>
    <mergeCell ref="H1:I2"/>
    <mergeCell ref="F1:G2"/>
    <mergeCell ref="D1:E2"/>
    <mergeCell ref="A3:C3"/>
    <mergeCell ref="A4:C4"/>
    <mergeCell ref="A5:C5"/>
    <mergeCell ref="A1:C2"/>
  </mergeCells>
  <pageMargins left="0.7" right="0.7" top="0.75" bottom="0.75" header="0.3" footer="0.3"/>
  <pageSetup scale="90" orientation="landscape" r:id="rId1"/>
  <colBreaks count="6" manualBreakCount="6">
    <brk id="15" max="1048575" man="1"/>
    <brk id="27" max="1048575" man="1"/>
    <brk id="39" max="1048575" man="1"/>
    <brk id="51" max="1048575" man="1"/>
    <brk id="63" max="1048575" man="1"/>
    <brk id="7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1013"/>
  <sheetViews>
    <sheetView showGridLines="0" zoomScaleNormal="100" workbookViewId="0">
      <pane xSplit="3" ySplit="12" topLeftCell="D13" activePane="bottomRight" state="frozen"/>
      <selection pane="topRight" activeCell="D1" sqref="D1"/>
      <selection pane="bottomLeft" activeCell="A13" sqref="A13"/>
      <selection pane="bottomRight" activeCell="D13" sqref="D13:H13"/>
    </sheetView>
  </sheetViews>
  <sheetFormatPr defaultColWidth="9.140625" defaultRowHeight="12.75" x14ac:dyDescent="0.2"/>
  <cols>
    <col min="1" max="1" width="9" style="79" bestFit="1" customWidth="1"/>
    <col min="2" max="2" width="1.85546875" style="55" hidden="1" customWidth="1"/>
    <col min="3" max="3" width="10" style="56" bestFit="1" customWidth="1"/>
    <col min="4" max="4" width="9" style="57" bestFit="1" customWidth="1"/>
    <col min="5" max="5" width="8" style="58" bestFit="1" customWidth="1"/>
    <col min="6" max="6" width="11" style="58" bestFit="1" customWidth="1"/>
    <col min="7" max="8" width="11" style="56" bestFit="1" customWidth="1"/>
    <col min="9" max="9" width="14.42578125" style="56" bestFit="1" customWidth="1"/>
    <col min="10" max="10" width="11.140625" style="58" customWidth="1"/>
    <col min="11" max="11" width="11.140625" style="839" customWidth="1"/>
    <col min="12" max="12" width="10.42578125" style="50" bestFit="1" customWidth="1"/>
    <col min="13" max="14" width="8.85546875" style="54" bestFit="1" customWidth="1"/>
    <col min="15" max="15" width="8.5703125" style="54" customWidth="1"/>
    <col min="16" max="16" width="8.42578125" style="50" bestFit="1" customWidth="1"/>
    <col min="17" max="17" width="9" style="50" bestFit="1" customWidth="1"/>
    <col min="18" max="18" width="8.42578125" style="54" bestFit="1" customWidth="1"/>
    <col min="19" max="19" width="4.5703125" style="50" bestFit="1" customWidth="1"/>
    <col min="20" max="20" width="8.42578125" style="54" bestFit="1" customWidth="1"/>
    <col min="21" max="21" width="4.5703125" style="50" customWidth="1"/>
    <col min="22" max="22" width="9.85546875" style="54" hidden="1" customWidth="1"/>
    <col min="23" max="23" width="41.140625" style="50" hidden="1" customWidth="1"/>
    <col min="24" max="24" width="8.42578125" style="54" hidden="1" customWidth="1"/>
    <col min="25" max="25" width="9.140625" style="50" hidden="1" customWidth="1"/>
    <col min="26" max="26" width="14.42578125" style="50" hidden="1" customWidth="1"/>
    <col min="27" max="27" width="9.140625" style="50" hidden="1" customWidth="1"/>
    <col min="28" max="28" width="9.140625" style="50" customWidth="1"/>
    <col min="29" max="16384" width="9.140625" style="50"/>
  </cols>
  <sheetData>
    <row r="1" spans="1:27" x14ac:dyDescent="0.2">
      <c r="A1" s="1153"/>
      <c r="B1" s="1153"/>
      <c r="C1" s="1153"/>
      <c r="F1" s="1147" t="s">
        <v>38</v>
      </c>
      <c r="G1" s="1147"/>
      <c r="H1" s="1147"/>
      <c r="I1" s="1149" t="s">
        <v>169</v>
      </c>
      <c r="J1" s="1149"/>
      <c r="K1" s="1149"/>
      <c r="L1" s="1148" t="s">
        <v>170</v>
      </c>
      <c r="M1" s="1148"/>
      <c r="N1" s="1148"/>
      <c r="O1" s="1150" t="s">
        <v>699</v>
      </c>
      <c r="P1" s="1151"/>
      <c r="Q1" s="1151"/>
      <c r="R1" s="1152"/>
      <c r="Z1" s="50" t="s">
        <v>426</v>
      </c>
      <c r="AA1" s="50" t="s">
        <v>692</v>
      </c>
    </row>
    <row r="2" spans="1:27" x14ac:dyDescent="0.2">
      <c r="A2" s="1153"/>
      <c r="B2" s="1153"/>
      <c r="C2" s="1153"/>
      <c r="D2" s="50"/>
      <c r="E2" s="50"/>
      <c r="F2" s="22" t="s">
        <v>9</v>
      </c>
      <c r="G2" s="59" t="s">
        <v>10</v>
      </c>
      <c r="H2" s="22" t="s">
        <v>36</v>
      </c>
      <c r="I2" s="225" t="s">
        <v>9</v>
      </c>
      <c r="J2" s="59" t="s">
        <v>10</v>
      </c>
      <c r="K2" s="22" t="s">
        <v>36</v>
      </c>
      <c r="L2" s="225" t="s">
        <v>9</v>
      </c>
      <c r="M2" s="59" t="s">
        <v>10</v>
      </c>
      <c r="N2" s="22" t="s">
        <v>36</v>
      </c>
      <c r="O2" s="1141" t="s">
        <v>9</v>
      </c>
      <c r="P2" s="1114"/>
      <c r="Q2" s="1154" t="s">
        <v>10</v>
      </c>
      <c r="R2" s="1155"/>
      <c r="V2" s="60" t="s">
        <v>92</v>
      </c>
      <c r="Z2" s="50" t="s">
        <v>427</v>
      </c>
      <c r="AA2" s="50" t="s">
        <v>693</v>
      </c>
    </row>
    <row r="3" spans="1:27" x14ac:dyDescent="0.2">
      <c r="A3" s="1153"/>
      <c r="B3" s="1153"/>
      <c r="C3" s="1153"/>
      <c r="D3" s="1168" t="s">
        <v>83</v>
      </c>
      <c r="E3" s="1168"/>
      <c r="F3" s="61">
        <f>BUDGET!B20</f>
        <v>0</v>
      </c>
      <c r="G3" s="62">
        <f>BUDGET!C20</f>
        <v>0</v>
      </c>
      <c r="H3" s="61">
        <f>BUDGET!D20</f>
        <v>0</v>
      </c>
      <c r="I3" s="840">
        <f>BUDGET!B37</f>
        <v>0</v>
      </c>
      <c r="J3" s="54">
        <f>BUDGET!C37</f>
        <v>0</v>
      </c>
      <c r="K3" s="54">
        <f>BUDGET!D37</f>
        <v>0</v>
      </c>
      <c r="L3" s="840">
        <f>BUDGET!B49</f>
        <v>0</v>
      </c>
      <c r="M3" s="54">
        <f>BUDGET!C49</f>
        <v>0</v>
      </c>
      <c r="N3" s="54">
        <f>BUDGET!D49</f>
        <v>0</v>
      </c>
      <c r="O3" s="852" t="s">
        <v>13</v>
      </c>
      <c r="P3" s="838">
        <f>SUMIFS(C13:C1013,B13:B1013,"7")</f>
        <v>0</v>
      </c>
      <c r="Q3" s="852" t="s">
        <v>19</v>
      </c>
      <c r="R3" s="853">
        <f>SUMIFS(C13:C1013,B13:B1013,"1")</f>
        <v>0</v>
      </c>
      <c r="V3" s="60" t="s">
        <v>93</v>
      </c>
      <c r="W3" s="50" t="s">
        <v>351</v>
      </c>
      <c r="Z3" s="50" t="s">
        <v>429</v>
      </c>
      <c r="AA3" s="50" t="s">
        <v>694</v>
      </c>
    </row>
    <row r="4" spans="1:27" ht="15" customHeight="1" x14ac:dyDescent="0.2">
      <c r="A4" s="1153"/>
      <c r="B4" s="1153"/>
      <c r="C4" s="1153"/>
      <c r="D4" s="446" t="s">
        <v>84</v>
      </c>
      <c r="E4" s="50"/>
      <c r="F4" s="54">
        <f>BUDGET!F20</f>
        <v>0</v>
      </c>
      <c r="G4" s="63">
        <f>BUDGET!G20</f>
        <v>0</v>
      </c>
      <c r="H4" s="54">
        <f>BUDGET!H20</f>
        <v>0</v>
      </c>
      <c r="I4" s="840">
        <f>BUDGET!F37</f>
        <v>0</v>
      </c>
      <c r="J4" s="54">
        <f>BUDGET!G37</f>
        <v>0</v>
      </c>
      <c r="K4" s="54">
        <f>BUDGET!H37</f>
        <v>0</v>
      </c>
      <c r="L4" s="840">
        <f>BUDGET!F49</f>
        <v>0</v>
      </c>
      <c r="M4" s="54">
        <f>BUDGET!G49</f>
        <v>0</v>
      </c>
      <c r="N4" s="54">
        <f>BUDGET!H49</f>
        <v>0</v>
      </c>
      <c r="O4" s="852" t="s">
        <v>14</v>
      </c>
      <c r="P4" s="838">
        <f>SUMIFS(C13:C1013,B13:B1013,"8")</f>
        <v>0</v>
      </c>
      <c r="Q4" s="852" t="s">
        <v>20</v>
      </c>
      <c r="R4" s="853">
        <f>SUMIFS(C13:C1013,B13:B1013,"2")</f>
        <v>0</v>
      </c>
      <c r="W4" s="50" t="s">
        <v>352</v>
      </c>
      <c r="Z4" s="50" t="s">
        <v>428</v>
      </c>
    </row>
    <row r="5" spans="1:27" s="29" customFormat="1" ht="15" x14ac:dyDescent="0.35">
      <c r="A5" s="1153"/>
      <c r="B5" s="1153"/>
      <c r="C5" s="1153"/>
      <c r="D5" s="1168" t="s">
        <v>90</v>
      </c>
      <c r="E5" s="1168"/>
      <c r="F5" s="609">
        <f>SUMIFS(C13:C1013,K13:K1013,"CHAPTER",B13:B1013,"&gt;=7")</f>
        <v>0</v>
      </c>
      <c r="G5" s="610">
        <f>SUMIFS(C13:C1013,K13:K1013,"CHAPTER",B13:B1013,"&lt;=6")</f>
        <v>0</v>
      </c>
      <c r="H5" s="611">
        <f>SUM(F5:G5)</f>
        <v>0</v>
      </c>
      <c r="I5" s="844">
        <f>SUMIFS(C13:C1013,K13:K1013,"HOUSE",B13:B1013,"&gt;=7")</f>
        <v>0</v>
      </c>
      <c r="J5" s="845">
        <f>SUMIFS(C13:C1013,K13:K1013,"HOUSE",B13:B1013,"&lt;=6")</f>
        <v>0</v>
      </c>
      <c r="K5" s="845">
        <f>SUM(I5:J5)</f>
        <v>0</v>
      </c>
      <c r="L5" s="847">
        <f>SUMIFS(C13:C1013,K13:K1013,"KITCHEN",B13:B1013,"&gt;=7")</f>
        <v>0</v>
      </c>
      <c r="M5" s="848">
        <f>SUMIFS(C13:C1013,K13:K1013,"KITCHEN",B13:B1013,"&lt;=6")</f>
        <v>0</v>
      </c>
      <c r="N5" s="848">
        <f>SUM(L5:M5)</f>
        <v>0</v>
      </c>
      <c r="O5" s="852" t="s">
        <v>15</v>
      </c>
      <c r="P5" s="838">
        <f>SUMIFS(C13:C1013,B13:B1013,"9")</f>
        <v>0</v>
      </c>
      <c r="Q5" s="852" t="s">
        <v>21</v>
      </c>
      <c r="R5" s="853">
        <f>SUMIFS(C13:C1013,B13:B1013,"3")</f>
        <v>0</v>
      </c>
      <c r="U5" s="65"/>
      <c r="V5" s="65"/>
      <c r="W5" s="50" t="s">
        <v>353</v>
      </c>
      <c r="X5" s="65"/>
    </row>
    <row r="6" spans="1:27" ht="15" x14ac:dyDescent="0.35">
      <c r="A6" s="1153"/>
      <c r="B6" s="1153"/>
      <c r="C6" s="1153"/>
      <c r="D6" s="1169" t="s">
        <v>85</v>
      </c>
      <c r="E6" s="1169"/>
      <c r="F6" s="66">
        <f t="shared" ref="F6:N6" si="0">F4-F5</f>
        <v>0</v>
      </c>
      <c r="G6" s="67">
        <f t="shared" si="0"/>
        <v>0</v>
      </c>
      <c r="H6" s="68">
        <f t="shared" si="0"/>
        <v>0</v>
      </c>
      <c r="I6" s="846">
        <f t="shared" si="0"/>
        <v>0</v>
      </c>
      <c r="J6" s="68">
        <f t="shared" si="0"/>
        <v>0</v>
      </c>
      <c r="K6" s="68">
        <f t="shared" si="0"/>
        <v>0</v>
      </c>
      <c r="L6" s="849">
        <f t="shared" si="0"/>
        <v>0</v>
      </c>
      <c r="M6" s="850">
        <f t="shared" si="0"/>
        <v>0</v>
      </c>
      <c r="N6" s="850">
        <f t="shared" si="0"/>
        <v>0</v>
      </c>
      <c r="O6" s="852" t="s">
        <v>16</v>
      </c>
      <c r="P6" s="838">
        <f>SUMIFS(C13:C1013,B13:B1013,"10")</f>
        <v>0</v>
      </c>
      <c r="Q6" s="852" t="s">
        <v>146</v>
      </c>
      <c r="R6" s="853">
        <f>SUMIFS(C13:C1013,B13:B1013,"4")</f>
        <v>0</v>
      </c>
      <c r="T6" s="50"/>
      <c r="W6" s="50" t="s">
        <v>354</v>
      </c>
    </row>
    <row r="7" spans="1:27" x14ac:dyDescent="0.2">
      <c r="A7" s="1153"/>
      <c r="B7" s="1153"/>
      <c r="C7" s="1153"/>
      <c r="D7" s="50"/>
      <c r="E7" s="50"/>
      <c r="F7" s="50"/>
      <c r="G7" s="50"/>
      <c r="H7" s="50"/>
      <c r="I7" s="58"/>
      <c r="O7" s="852" t="s">
        <v>17</v>
      </c>
      <c r="P7" s="838">
        <f>SUMIFS(C13:C1013,B13:B1013,"11")</f>
        <v>0</v>
      </c>
      <c r="Q7" s="852" t="s">
        <v>24</v>
      </c>
      <c r="R7" s="853">
        <f>SUMIFS(C13:C1013,B13:B1013,"5")</f>
        <v>0</v>
      </c>
      <c r="T7" s="50"/>
      <c r="W7" s="50" t="s">
        <v>355</v>
      </c>
    </row>
    <row r="8" spans="1:27" x14ac:dyDescent="0.2">
      <c r="A8" s="1153"/>
      <c r="B8" s="1153"/>
      <c r="C8" s="1153"/>
      <c r="O8" s="852" t="s">
        <v>18</v>
      </c>
      <c r="P8" s="851">
        <f>SUMIFS(C13:C1013,B13:B1013,"12")</f>
        <v>0</v>
      </c>
      <c r="Q8" s="852" t="s">
        <v>22</v>
      </c>
      <c r="R8" s="854">
        <f>SUMIFS(C13:C1013,B13:B1013,"6")</f>
        <v>0</v>
      </c>
      <c r="T8" s="50"/>
      <c r="W8" s="50" t="s">
        <v>356</v>
      </c>
    </row>
    <row r="9" spans="1:27" x14ac:dyDescent="0.2">
      <c r="A9" s="1153"/>
      <c r="B9" s="1153"/>
      <c r="C9" s="1153"/>
      <c r="O9" s="855"/>
      <c r="P9" s="856">
        <f>SUM(P3:P8)</f>
        <v>0</v>
      </c>
      <c r="Q9" s="855"/>
      <c r="R9" s="857">
        <f>SUM(R3:R8)</f>
        <v>0</v>
      </c>
      <c r="T9" s="50"/>
      <c r="W9" s="50" t="s">
        <v>357</v>
      </c>
    </row>
    <row r="10" spans="1:27" ht="15" customHeight="1" x14ac:dyDescent="0.2">
      <c r="A10" s="1166" t="s">
        <v>88</v>
      </c>
      <c r="B10" s="1166"/>
      <c r="C10" s="1166"/>
      <c r="W10" s="50" t="s">
        <v>358</v>
      </c>
    </row>
    <row r="11" spans="1:27" ht="15.75" customHeight="1" x14ac:dyDescent="0.2">
      <c r="A11" s="1167"/>
      <c r="B11" s="1167"/>
      <c r="C11" s="1167"/>
      <c r="W11" s="50" t="s">
        <v>359</v>
      </c>
    </row>
    <row r="12" spans="1:27" ht="25.5" x14ac:dyDescent="0.2">
      <c r="A12" s="69" t="s">
        <v>86</v>
      </c>
      <c r="B12" s="70"/>
      <c r="C12" s="71" t="s">
        <v>87</v>
      </c>
      <c r="D12" s="1160" t="s">
        <v>91</v>
      </c>
      <c r="E12" s="1161"/>
      <c r="F12" s="1161"/>
      <c r="G12" s="1161"/>
      <c r="H12" s="1161"/>
      <c r="I12" s="613" t="s">
        <v>147</v>
      </c>
      <c r="J12" s="612" t="s">
        <v>148</v>
      </c>
      <c r="K12" s="841" t="s">
        <v>691</v>
      </c>
      <c r="L12" s="1162" t="s">
        <v>89</v>
      </c>
      <c r="M12" s="1163"/>
      <c r="N12" s="1163"/>
      <c r="O12" s="1164"/>
      <c r="P12" s="72"/>
      <c r="W12" s="50" t="s">
        <v>360</v>
      </c>
    </row>
    <row r="13" spans="1:27" x14ac:dyDescent="0.2">
      <c r="A13" s="73"/>
      <c r="B13" s="52">
        <f t="shared" ref="B13:B21" si="1">MONTH(A13)</f>
        <v>1</v>
      </c>
      <c r="C13" s="40"/>
      <c r="D13" s="1165"/>
      <c r="E13" s="1165"/>
      <c r="F13" s="1165"/>
      <c r="G13" s="1165"/>
      <c r="H13" s="1165"/>
      <c r="I13" s="470"/>
      <c r="J13" s="74"/>
      <c r="K13" s="842"/>
      <c r="L13" s="1157"/>
      <c r="M13" s="1158"/>
      <c r="N13" s="1158"/>
      <c r="O13" s="1158"/>
      <c r="W13" s="50" t="s">
        <v>361</v>
      </c>
    </row>
    <row r="14" spans="1:27" x14ac:dyDescent="0.2">
      <c r="A14" s="75"/>
      <c r="B14" s="52">
        <f t="shared" si="1"/>
        <v>1</v>
      </c>
      <c r="C14" s="45"/>
      <c r="D14" s="1156"/>
      <c r="E14" s="1156"/>
      <c r="F14" s="1156"/>
      <c r="G14" s="1156"/>
      <c r="H14" s="1156"/>
      <c r="I14" s="470"/>
      <c r="J14" s="76"/>
      <c r="K14" s="843"/>
      <c r="L14" s="1157"/>
      <c r="M14" s="1158"/>
      <c r="N14" s="1158"/>
      <c r="O14" s="1158"/>
      <c r="W14" s="50" t="s">
        <v>362</v>
      </c>
    </row>
    <row r="15" spans="1:27" x14ac:dyDescent="0.2">
      <c r="A15" s="75"/>
      <c r="B15" s="52">
        <f t="shared" si="1"/>
        <v>1</v>
      </c>
      <c r="C15" s="45"/>
      <c r="D15" s="1156"/>
      <c r="E15" s="1156"/>
      <c r="F15" s="1156"/>
      <c r="G15" s="1156"/>
      <c r="H15" s="1156"/>
      <c r="I15" s="470"/>
      <c r="J15" s="76"/>
      <c r="K15" s="843"/>
      <c r="L15" s="1157"/>
      <c r="M15" s="1158"/>
      <c r="N15" s="1158"/>
      <c r="O15" s="1158"/>
      <c r="W15" s="50" t="s">
        <v>363</v>
      </c>
    </row>
    <row r="16" spans="1:27" x14ac:dyDescent="0.2">
      <c r="A16" s="75"/>
      <c r="B16" s="52">
        <f t="shared" si="1"/>
        <v>1</v>
      </c>
      <c r="C16" s="45"/>
      <c r="D16" s="1156"/>
      <c r="E16" s="1156"/>
      <c r="F16" s="1156"/>
      <c r="G16" s="1156"/>
      <c r="H16" s="1156"/>
      <c r="I16" s="470"/>
      <c r="J16" s="76"/>
      <c r="K16" s="843"/>
      <c r="L16" s="1157"/>
      <c r="M16" s="1158"/>
      <c r="N16" s="1158"/>
      <c r="O16" s="1158"/>
      <c r="W16" s="50" t="s">
        <v>364</v>
      </c>
    </row>
    <row r="17" spans="1:23" x14ac:dyDescent="0.2">
      <c r="A17" s="75"/>
      <c r="B17" s="52">
        <f t="shared" si="1"/>
        <v>1</v>
      </c>
      <c r="C17" s="45"/>
      <c r="D17" s="1156"/>
      <c r="E17" s="1156"/>
      <c r="F17" s="1156"/>
      <c r="G17" s="1156"/>
      <c r="H17" s="1156"/>
      <c r="I17" s="470"/>
      <c r="J17" s="76"/>
      <c r="K17" s="843"/>
      <c r="L17" s="1157"/>
      <c r="M17" s="1158"/>
      <c r="N17" s="1158"/>
      <c r="O17" s="1158"/>
      <c r="W17" s="50" t="s">
        <v>365</v>
      </c>
    </row>
    <row r="18" spans="1:23" x14ac:dyDescent="0.2">
      <c r="A18" s="75"/>
      <c r="B18" s="52">
        <f t="shared" si="1"/>
        <v>1</v>
      </c>
      <c r="C18" s="45"/>
      <c r="D18" s="1156"/>
      <c r="E18" s="1156"/>
      <c r="F18" s="1156"/>
      <c r="G18" s="1156"/>
      <c r="H18" s="1156"/>
      <c r="I18" s="470"/>
      <c r="J18" s="76"/>
      <c r="K18" s="843"/>
      <c r="L18" s="1157"/>
      <c r="M18" s="1158"/>
      <c r="N18" s="1158"/>
      <c r="O18" s="1158"/>
      <c r="W18" s="50" t="s">
        <v>366</v>
      </c>
    </row>
    <row r="19" spans="1:23" x14ac:dyDescent="0.2">
      <c r="A19" s="75"/>
      <c r="B19" s="52">
        <f t="shared" si="1"/>
        <v>1</v>
      </c>
      <c r="C19" s="45"/>
      <c r="D19" s="1156"/>
      <c r="E19" s="1156"/>
      <c r="F19" s="1156"/>
      <c r="G19" s="1156"/>
      <c r="H19" s="1156"/>
      <c r="I19" s="470"/>
      <c r="J19" s="76"/>
      <c r="K19" s="843"/>
      <c r="L19" s="1157"/>
      <c r="M19" s="1158"/>
      <c r="N19" s="1158"/>
      <c r="O19" s="1158"/>
      <c r="W19" s="50" t="s">
        <v>367</v>
      </c>
    </row>
    <row r="20" spans="1:23" x14ac:dyDescent="0.2">
      <c r="A20" s="75"/>
      <c r="B20" s="52">
        <f t="shared" si="1"/>
        <v>1</v>
      </c>
      <c r="C20" s="45"/>
      <c r="D20" s="1156"/>
      <c r="E20" s="1156"/>
      <c r="F20" s="1156"/>
      <c r="G20" s="1156"/>
      <c r="H20" s="1156"/>
      <c r="I20" s="470"/>
      <c r="J20" s="76"/>
      <c r="K20" s="843"/>
      <c r="L20" s="1157"/>
      <c r="M20" s="1158"/>
      <c r="N20" s="1158"/>
      <c r="O20" s="1158"/>
      <c r="W20" s="50" t="s">
        <v>368</v>
      </c>
    </row>
    <row r="21" spans="1:23" x14ac:dyDescent="0.2">
      <c r="A21" s="75"/>
      <c r="B21" s="52">
        <f t="shared" si="1"/>
        <v>1</v>
      </c>
      <c r="C21" s="45"/>
      <c r="D21" s="1156"/>
      <c r="E21" s="1156"/>
      <c r="F21" s="1156"/>
      <c r="G21" s="1156"/>
      <c r="H21" s="1156"/>
      <c r="I21" s="470"/>
      <c r="J21" s="76"/>
      <c r="K21" s="843"/>
      <c r="L21" s="1157"/>
      <c r="M21" s="1158"/>
      <c r="N21" s="1158"/>
      <c r="O21" s="1158"/>
      <c r="W21" s="50" t="s">
        <v>369</v>
      </c>
    </row>
    <row r="22" spans="1:23" x14ac:dyDescent="0.2">
      <c r="A22" s="75"/>
      <c r="B22" s="52">
        <f t="shared" ref="B22:B77" si="2">MONTH(A22)</f>
        <v>1</v>
      </c>
      <c r="C22" s="45"/>
      <c r="D22" s="1156"/>
      <c r="E22" s="1156"/>
      <c r="F22" s="1156"/>
      <c r="G22" s="1156"/>
      <c r="H22" s="1156"/>
      <c r="I22" s="470"/>
      <c r="J22" s="76"/>
      <c r="K22" s="843"/>
      <c r="L22" s="1157"/>
      <c r="M22" s="1158"/>
      <c r="N22" s="1158"/>
      <c r="O22" s="1158"/>
      <c r="W22" s="50" t="s">
        <v>370</v>
      </c>
    </row>
    <row r="23" spans="1:23" x14ac:dyDescent="0.2">
      <c r="A23" s="75"/>
      <c r="B23" s="52">
        <f t="shared" si="2"/>
        <v>1</v>
      </c>
      <c r="C23" s="45"/>
      <c r="D23" s="1156"/>
      <c r="E23" s="1156"/>
      <c r="F23" s="1156"/>
      <c r="G23" s="1156"/>
      <c r="H23" s="1156"/>
      <c r="I23" s="470"/>
      <c r="J23" s="76"/>
      <c r="K23" s="843"/>
      <c r="L23" s="1157"/>
      <c r="M23" s="1158"/>
      <c r="N23" s="1158"/>
      <c r="O23" s="1158"/>
      <c r="W23" s="50" t="s">
        <v>371</v>
      </c>
    </row>
    <row r="24" spans="1:23" x14ac:dyDescent="0.2">
      <c r="A24" s="75"/>
      <c r="B24" s="52">
        <f t="shared" si="2"/>
        <v>1</v>
      </c>
      <c r="C24" s="45"/>
      <c r="D24" s="1156"/>
      <c r="E24" s="1156"/>
      <c r="F24" s="1156"/>
      <c r="G24" s="1156"/>
      <c r="H24" s="1156"/>
      <c r="I24" s="470"/>
      <c r="J24" s="76"/>
      <c r="K24" s="843"/>
      <c r="L24" s="1157"/>
      <c r="M24" s="1158"/>
      <c r="N24" s="1158"/>
      <c r="O24" s="1158"/>
      <c r="W24" s="50" t="s">
        <v>372</v>
      </c>
    </row>
    <row r="25" spans="1:23" x14ac:dyDescent="0.2">
      <c r="A25" s="75"/>
      <c r="B25" s="52">
        <f t="shared" si="2"/>
        <v>1</v>
      </c>
      <c r="C25" s="45"/>
      <c r="D25" s="1156"/>
      <c r="E25" s="1156"/>
      <c r="F25" s="1156"/>
      <c r="G25" s="1156"/>
      <c r="H25" s="1156"/>
      <c r="I25" s="470"/>
      <c r="J25" s="76"/>
      <c r="K25" s="843"/>
      <c r="L25" s="1157"/>
      <c r="M25" s="1158"/>
      <c r="N25" s="1158"/>
      <c r="O25" s="1158"/>
      <c r="W25" s="50" t="str">
        <f>'Ch Operations Budget Worksheet'!A55</f>
        <v>Chapter - Other (rename #1)</v>
      </c>
    </row>
    <row r="26" spans="1:23" x14ac:dyDescent="0.2">
      <c r="A26" s="75"/>
      <c r="B26" s="52">
        <f t="shared" si="2"/>
        <v>1</v>
      </c>
      <c r="C26" s="45"/>
      <c r="D26" s="1156"/>
      <c r="E26" s="1156"/>
      <c r="F26" s="1156"/>
      <c r="G26" s="1156"/>
      <c r="H26" s="1156"/>
      <c r="I26" s="470"/>
      <c r="J26" s="76"/>
      <c r="K26" s="843"/>
      <c r="L26" s="1157"/>
      <c r="M26" s="1158"/>
      <c r="N26" s="1158"/>
      <c r="O26" s="1158"/>
      <c r="W26" s="50" t="str">
        <f>'Ch Operations Budget Worksheet'!A56</f>
        <v>Chapter - Other (rename #2)</v>
      </c>
    </row>
    <row r="27" spans="1:23" x14ac:dyDescent="0.2">
      <c r="A27" s="75"/>
      <c r="B27" s="52">
        <f t="shared" si="2"/>
        <v>1</v>
      </c>
      <c r="C27" s="45"/>
      <c r="D27" s="1156"/>
      <c r="E27" s="1156"/>
      <c r="F27" s="1156"/>
      <c r="G27" s="1156"/>
      <c r="H27" s="1156"/>
      <c r="I27" s="470"/>
      <c r="J27" s="76"/>
      <c r="K27" s="843"/>
      <c r="L27" s="1157"/>
      <c r="M27" s="1158"/>
      <c r="N27" s="1158"/>
      <c r="O27" s="1158"/>
      <c r="W27" s="50" t="str">
        <f>'Ch Operations Budget Worksheet'!A57</f>
        <v>Chapter - Other (rename #3)</v>
      </c>
    </row>
    <row r="28" spans="1:23" x14ac:dyDescent="0.2">
      <c r="A28" s="75"/>
      <c r="B28" s="52">
        <f t="shared" si="2"/>
        <v>1</v>
      </c>
      <c r="C28" s="45"/>
      <c r="D28" s="1156"/>
      <c r="E28" s="1156"/>
      <c r="F28" s="1156"/>
      <c r="G28" s="1156"/>
      <c r="H28" s="1156"/>
      <c r="I28" s="470"/>
      <c r="J28" s="76"/>
      <c r="K28" s="843"/>
      <c r="L28" s="1157"/>
      <c r="M28" s="1158"/>
      <c r="N28" s="1158"/>
      <c r="O28" s="1158"/>
      <c r="W28" s="50" t="str">
        <f>'Ch Operations Budget Worksheet'!A58</f>
        <v>Chapter - Other (rename #4)</v>
      </c>
    </row>
    <row r="29" spans="1:23" x14ac:dyDescent="0.2">
      <c r="A29" s="75"/>
      <c r="B29" s="52">
        <f t="shared" si="2"/>
        <v>1</v>
      </c>
      <c r="C29" s="45"/>
      <c r="D29" s="1156"/>
      <c r="E29" s="1156"/>
      <c r="F29" s="1156"/>
      <c r="G29" s="1156"/>
      <c r="H29" s="1156"/>
      <c r="I29" s="470"/>
      <c r="J29" s="76"/>
      <c r="K29" s="843"/>
      <c r="L29" s="1157"/>
      <c r="M29" s="1158"/>
      <c r="N29" s="1158"/>
      <c r="O29" s="1158"/>
      <c r="W29" s="50" t="str">
        <f>'Ch Operations Budget Worksheet'!A59</f>
        <v>Chapter - Other (rename #5)</v>
      </c>
    </row>
    <row r="30" spans="1:23" x14ac:dyDescent="0.2">
      <c r="A30" s="75"/>
      <c r="B30" s="52">
        <f t="shared" si="2"/>
        <v>1</v>
      </c>
      <c r="C30" s="45"/>
      <c r="D30" s="1156"/>
      <c r="E30" s="1156"/>
      <c r="F30" s="1156"/>
      <c r="G30" s="1156"/>
      <c r="H30" s="1156"/>
      <c r="I30" s="470"/>
      <c r="J30" s="76"/>
      <c r="K30" s="843"/>
      <c r="L30" s="1157"/>
      <c r="M30" s="1158"/>
      <c r="N30" s="1158"/>
      <c r="O30" s="1158"/>
      <c r="W30" s="50" t="s">
        <v>378</v>
      </c>
    </row>
    <row r="31" spans="1:23" x14ac:dyDescent="0.2">
      <c r="A31" s="75"/>
      <c r="B31" s="52">
        <f t="shared" si="2"/>
        <v>1</v>
      </c>
      <c r="C31" s="45"/>
      <c r="D31" s="1156"/>
      <c r="E31" s="1156"/>
      <c r="F31" s="1156"/>
      <c r="G31" s="1156"/>
      <c r="H31" s="1156"/>
      <c r="I31" s="470"/>
      <c r="J31" s="76"/>
      <c r="K31" s="843"/>
      <c r="L31" s="1157"/>
      <c r="M31" s="1158"/>
      <c r="N31" s="1158"/>
      <c r="O31" s="1158"/>
      <c r="W31" s="50" t="s">
        <v>379</v>
      </c>
    </row>
    <row r="32" spans="1:23" x14ac:dyDescent="0.2">
      <c r="A32" s="75"/>
      <c r="B32" s="52">
        <f t="shared" si="2"/>
        <v>1</v>
      </c>
      <c r="C32" s="45"/>
      <c r="D32" s="1156"/>
      <c r="E32" s="1156"/>
      <c r="F32" s="1156"/>
      <c r="G32" s="1156"/>
      <c r="H32" s="1156"/>
      <c r="I32" s="470"/>
      <c r="J32" s="76"/>
      <c r="K32" s="843"/>
      <c r="L32" s="1157"/>
      <c r="M32" s="1158"/>
      <c r="N32" s="1158"/>
      <c r="O32" s="1158"/>
      <c r="W32" s="50" t="s">
        <v>380</v>
      </c>
    </row>
    <row r="33" spans="1:23" x14ac:dyDescent="0.2">
      <c r="A33" s="75"/>
      <c r="B33" s="52">
        <f t="shared" si="2"/>
        <v>1</v>
      </c>
      <c r="C33" s="45"/>
      <c r="D33" s="1156"/>
      <c r="E33" s="1156"/>
      <c r="F33" s="1156"/>
      <c r="G33" s="1156"/>
      <c r="H33" s="1156"/>
      <c r="I33" s="470"/>
      <c r="J33" s="76"/>
      <c r="K33" s="843"/>
      <c r="L33" s="1157"/>
      <c r="M33" s="1158"/>
      <c r="N33" s="1158"/>
      <c r="O33" s="1158"/>
      <c r="W33" s="50" t="s">
        <v>381</v>
      </c>
    </row>
    <row r="34" spans="1:23" x14ac:dyDescent="0.2">
      <c r="A34" s="75"/>
      <c r="B34" s="52">
        <f t="shared" si="2"/>
        <v>1</v>
      </c>
      <c r="C34" s="45"/>
      <c r="D34" s="1156"/>
      <c r="E34" s="1156"/>
      <c r="F34" s="1156"/>
      <c r="G34" s="1156"/>
      <c r="H34" s="1156"/>
      <c r="I34" s="470"/>
      <c r="J34" s="76"/>
      <c r="K34" s="843"/>
      <c r="L34" s="1157"/>
      <c r="M34" s="1158"/>
      <c r="N34" s="1158"/>
      <c r="O34" s="1158"/>
      <c r="W34" s="50" t="s">
        <v>382</v>
      </c>
    </row>
    <row r="35" spans="1:23" x14ac:dyDescent="0.2">
      <c r="A35" s="75"/>
      <c r="B35" s="52">
        <f t="shared" si="2"/>
        <v>1</v>
      </c>
      <c r="C35" s="45"/>
      <c r="D35" s="1156"/>
      <c r="E35" s="1156"/>
      <c r="F35" s="1156"/>
      <c r="G35" s="1156"/>
      <c r="H35" s="1156"/>
      <c r="I35" s="470"/>
      <c r="J35" s="76"/>
      <c r="K35" s="843"/>
      <c r="L35" s="1157"/>
      <c r="M35" s="1158"/>
      <c r="N35" s="1158"/>
      <c r="O35" s="1158"/>
      <c r="W35" s="50" t="s">
        <v>383</v>
      </c>
    </row>
    <row r="36" spans="1:23" x14ac:dyDescent="0.2">
      <c r="A36" s="75"/>
      <c r="B36" s="52">
        <f t="shared" si="2"/>
        <v>1</v>
      </c>
      <c r="C36" s="45"/>
      <c r="D36" s="1156"/>
      <c r="E36" s="1156"/>
      <c r="F36" s="1156"/>
      <c r="G36" s="1156"/>
      <c r="H36" s="1156"/>
      <c r="I36" s="470"/>
      <c r="J36" s="76"/>
      <c r="K36" s="843"/>
      <c r="L36" s="1157"/>
      <c r="M36" s="1158"/>
      <c r="N36" s="1158"/>
      <c r="O36" s="1158"/>
      <c r="W36" s="50" t="s">
        <v>384</v>
      </c>
    </row>
    <row r="37" spans="1:23" x14ac:dyDescent="0.2">
      <c r="A37" s="75"/>
      <c r="B37" s="52">
        <f t="shared" si="2"/>
        <v>1</v>
      </c>
      <c r="C37" s="45"/>
      <c r="D37" s="1156"/>
      <c r="E37" s="1156"/>
      <c r="F37" s="1156"/>
      <c r="G37" s="1156"/>
      <c r="H37" s="1156"/>
      <c r="I37" s="470"/>
      <c r="J37" s="76"/>
      <c r="K37" s="843"/>
      <c r="L37" s="1157"/>
      <c r="M37" s="1158"/>
      <c r="N37" s="1158"/>
      <c r="O37" s="1158"/>
      <c r="W37" s="50" t="s">
        <v>385</v>
      </c>
    </row>
    <row r="38" spans="1:23" x14ac:dyDescent="0.2">
      <c r="A38" s="75"/>
      <c r="B38" s="52">
        <f t="shared" si="2"/>
        <v>1</v>
      </c>
      <c r="C38" s="45"/>
      <c r="D38" s="1156"/>
      <c r="E38" s="1156"/>
      <c r="F38" s="1156"/>
      <c r="G38" s="1156"/>
      <c r="H38" s="1156"/>
      <c r="I38" s="470"/>
      <c r="J38" s="76"/>
      <c r="K38" s="843"/>
      <c r="L38" s="1157"/>
      <c r="M38" s="1158"/>
      <c r="N38" s="1158"/>
      <c r="O38" s="1158"/>
      <c r="W38" s="50" t="s">
        <v>386</v>
      </c>
    </row>
    <row r="39" spans="1:23" x14ac:dyDescent="0.2">
      <c r="A39" s="75"/>
      <c r="B39" s="52">
        <f t="shared" si="2"/>
        <v>1</v>
      </c>
      <c r="C39" s="45"/>
      <c r="D39" s="1156"/>
      <c r="E39" s="1156"/>
      <c r="F39" s="1156"/>
      <c r="G39" s="1156"/>
      <c r="H39" s="1156"/>
      <c r="I39" s="470"/>
      <c r="J39" s="76"/>
      <c r="K39" s="843"/>
      <c r="L39" s="1157"/>
      <c r="M39" s="1158"/>
      <c r="N39" s="1158"/>
      <c r="O39" s="1158"/>
      <c r="W39" s="50" t="s">
        <v>387</v>
      </c>
    </row>
    <row r="40" spans="1:23" x14ac:dyDescent="0.2">
      <c r="A40" s="75"/>
      <c r="B40" s="52">
        <f t="shared" si="2"/>
        <v>1</v>
      </c>
      <c r="C40" s="45"/>
      <c r="D40" s="1156"/>
      <c r="E40" s="1156"/>
      <c r="F40" s="1156"/>
      <c r="G40" s="1156"/>
      <c r="H40" s="1156"/>
      <c r="I40" s="470"/>
      <c r="J40" s="76"/>
      <c r="K40" s="843"/>
      <c r="L40" s="1157"/>
      <c r="M40" s="1158"/>
      <c r="N40" s="1158"/>
      <c r="O40" s="1158"/>
      <c r="W40" s="50" t="s">
        <v>388</v>
      </c>
    </row>
    <row r="41" spans="1:23" x14ac:dyDescent="0.2">
      <c r="A41" s="75"/>
      <c r="B41" s="52">
        <f t="shared" si="2"/>
        <v>1</v>
      </c>
      <c r="C41" s="45"/>
      <c r="D41" s="1156"/>
      <c r="E41" s="1156"/>
      <c r="F41" s="1156"/>
      <c r="G41" s="1156"/>
      <c r="H41" s="1156"/>
      <c r="I41" s="470"/>
      <c r="J41" s="76"/>
      <c r="K41" s="843"/>
      <c r="L41" s="1157"/>
      <c r="M41" s="1158"/>
      <c r="N41" s="1158"/>
      <c r="O41" s="1158"/>
      <c r="W41" s="50" t="s">
        <v>389</v>
      </c>
    </row>
    <row r="42" spans="1:23" x14ac:dyDescent="0.2">
      <c r="A42" s="75"/>
      <c r="B42" s="52">
        <f t="shared" si="2"/>
        <v>1</v>
      </c>
      <c r="C42" s="45"/>
      <c r="D42" s="1156"/>
      <c r="E42" s="1156"/>
      <c r="F42" s="1156"/>
      <c r="G42" s="1156"/>
      <c r="H42" s="1156"/>
      <c r="I42" s="470"/>
      <c r="J42" s="76"/>
      <c r="K42" s="843"/>
      <c r="L42" s="1157"/>
      <c r="M42" s="1158"/>
      <c r="N42" s="1158"/>
      <c r="O42" s="1158"/>
      <c r="W42" s="50" t="s">
        <v>390</v>
      </c>
    </row>
    <row r="43" spans="1:23" x14ac:dyDescent="0.2">
      <c r="A43" s="75"/>
      <c r="B43" s="52">
        <f t="shared" si="2"/>
        <v>1</v>
      </c>
      <c r="C43" s="45"/>
      <c r="D43" s="1156"/>
      <c r="E43" s="1156"/>
      <c r="F43" s="1156"/>
      <c r="G43" s="1156"/>
      <c r="H43" s="1156"/>
      <c r="I43" s="470"/>
      <c r="J43" s="76"/>
      <c r="K43" s="843"/>
      <c r="L43" s="1157"/>
      <c r="M43" s="1158"/>
      <c r="N43" s="1158"/>
      <c r="O43" s="1158"/>
      <c r="W43" s="50" t="s">
        <v>391</v>
      </c>
    </row>
    <row r="44" spans="1:23" x14ac:dyDescent="0.2">
      <c r="A44" s="75"/>
      <c r="B44" s="52">
        <f t="shared" si="2"/>
        <v>1</v>
      </c>
      <c r="C44" s="45"/>
      <c r="D44" s="1156"/>
      <c r="E44" s="1156"/>
      <c r="F44" s="1156"/>
      <c r="G44" s="1156"/>
      <c r="H44" s="1156"/>
      <c r="I44" s="470"/>
      <c r="J44" s="76"/>
      <c r="K44" s="843"/>
      <c r="L44" s="1157"/>
      <c r="M44" s="1158"/>
      <c r="N44" s="1158"/>
      <c r="O44" s="1158"/>
      <c r="W44" s="50" t="s">
        <v>392</v>
      </c>
    </row>
    <row r="45" spans="1:23" x14ac:dyDescent="0.2">
      <c r="A45" s="75"/>
      <c r="B45" s="52">
        <f t="shared" si="2"/>
        <v>1</v>
      </c>
      <c r="C45" s="45"/>
      <c r="D45" s="1156"/>
      <c r="E45" s="1156"/>
      <c r="F45" s="1156"/>
      <c r="G45" s="1156"/>
      <c r="H45" s="1156"/>
      <c r="I45" s="470"/>
      <c r="J45" s="76"/>
      <c r="K45" s="843"/>
      <c r="L45" s="1157"/>
      <c r="M45" s="1158"/>
      <c r="N45" s="1158"/>
      <c r="O45" s="1158"/>
      <c r="W45" s="50" t="s">
        <v>393</v>
      </c>
    </row>
    <row r="46" spans="1:23" x14ac:dyDescent="0.2">
      <c r="A46" s="75"/>
      <c r="B46" s="52">
        <f t="shared" si="2"/>
        <v>1</v>
      </c>
      <c r="C46" s="45"/>
      <c r="D46" s="1156"/>
      <c r="E46" s="1156"/>
      <c r="F46" s="1156"/>
      <c r="G46" s="1156"/>
      <c r="H46" s="1156"/>
      <c r="I46" s="470"/>
      <c r="J46" s="76"/>
      <c r="K46" s="843"/>
      <c r="L46" s="1157"/>
      <c r="M46" s="1158"/>
      <c r="N46" s="1158"/>
      <c r="O46" s="1158"/>
      <c r="W46" s="50" t="s">
        <v>394</v>
      </c>
    </row>
    <row r="47" spans="1:23" x14ac:dyDescent="0.2">
      <c r="A47" s="75"/>
      <c r="B47" s="52">
        <f t="shared" si="2"/>
        <v>1</v>
      </c>
      <c r="C47" s="45"/>
      <c r="D47" s="1156"/>
      <c r="E47" s="1156"/>
      <c r="F47" s="1156"/>
      <c r="G47" s="1156"/>
      <c r="H47" s="1156"/>
      <c r="I47" s="470"/>
      <c r="J47" s="76"/>
      <c r="K47" s="843"/>
      <c r="L47" s="1157"/>
      <c r="M47" s="1158"/>
      <c r="N47" s="1158"/>
      <c r="O47" s="1158"/>
      <c r="W47" s="50" t="s">
        <v>395</v>
      </c>
    </row>
    <row r="48" spans="1:23" x14ac:dyDescent="0.2">
      <c r="A48" s="75"/>
      <c r="B48" s="52">
        <f t="shared" si="2"/>
        <v>1</v>
      </c>
      <c r="C48" s="45"/>
      <c r="D48" s="1156"/>
      <c r="E48" s="1156"/>
      <c r="F48" s="1156"/>
      <c r="G48" s="1156"/>
      <c r="H48" s="1156"/>
      <c r="I48" s="470"/>
      <c r="J48" s="76"/>
      <c r="K48" s="843"/>
      <c r="L48" s="1157"/>
      <c r="M48" s="1158"/>
      <c r="N48" s="1158"/>
      <c r="O48" s="1158"/>
      <c r="W48" s="50" t="s">
        <v>396</v>
      </c>
    </row>
    <row r="49" spans="1:23" x14ac:dyDescent="0.2">
      <c r="A49" s="75"/>
      <c r="B49" s="52">
        <f t="shared" si="2"/>
        <v>1</v>
      </c>
      <c r="C49" s="45"/>
      <c r="D49" s="1156"/>
      <c r="E49" s="1156"/>
      <c r="F49" s="1156"/>
      <c r="G49" s="1156"/>
      <c r="H49" s="1156"/>
      <c r="I49" s="470"/>
      <c r="J49" s="76"/>
      <c r="K49" s="843"/>
      <c r="L49" s="1157"/>
      <c r="M49" s="1158"/>
      <c r="N49" s="1158"/>
      <c r="O49" s="1158"/>
      <c r="W49" s="50" t="s">
        <v>397</v>
      </c>
    </row>
    <row r="50" spans="1:23" x14ac:dyDescent="0.2">
      <c r="A50" s="75"/>
      <c r="B50" s="52">
        <f t="shared" si="2"/>
        <v>1</v>
      </c>
      <c r="C50" s="45"/>
      <c r="D50" s="1156"/>
      <c r="E50" s="1156"/>
      <c r="F50" s="1156"/>
      <c r="G50" s="1156"/>
      <c r="H50" s="1156"/>
      <c r="I50" s="470"/>
      <c r="J50" s="76"/>
      <c r="K50" s="843"/>
      <c r="L50" s="1157"/>
      <c r="M50" s="1158"/>
      <c r="N50" s="1158"/>
      <c r="O50" s="1158"/>
      <c r="W50" s="50" t="s">
        <v>398</v>
      </c>
    </row>
    <row r="51" spans="1:23" x14ac:dyDescent="0.2">
      <c r="A51" s="75"/>
      <c r="B51" s="52">
        <f t="shared" si="2"/>
        <v>1</v>
      </c>
      <c r="C51" s="45"/>
      <c r="D51" s="1156"/>
      <c r="E51" s="1156"/>
      <c r="F51" s="1156"/>
      <c r="G51" s="1156"/>
      <c r="H51" s="1156"/>
      <c r="I51" s="468"/>
      <c r="J51" s="76"/>
      <c r="K51" s="843"/>
      <c r="L51" s="1157"/>
      <c r="M51" s="1158"/>
      <c r="N51" s="1158"/>
      <c r="O51" s="1158"/>
      <c r="W51" s="50" t="s">
        <v>399</v>
      </c>
    </row>
    <row r="52" spans="1:23" x14ac:dyDescent="0.2">
      <c r="A52" s="75"/>
      <c r="B52" s="52">
        <f t="shared" si="2"/>
        <v>1</v>
      </c>
      <c r="C52" s="45"/>
      <c r="D52" s="1156"/>
      <c r="E52" s="1156"/>
      <c r="F52" s="1156"/>
      <c r="G52" s="1156"/>
      <c r="H52" s="1156"/>
      <c r="I52" s="468"/>
      <c r="J52" s="76"/>
      <c r="K52" s="843"/>
      <c r="L52" s="1157"/>
      <c r="M52" s="1158"/>
      <c r="N52" s="1158"/>
      <c r="O52" s="1158"/>
      <c r="W52" s="50" t="s">
        <v>400</v>
      </c>
    </row>
    <row r="53" spans="1:23" x14ac:dyDescent="0.2">
      <c r="A53" s="75"/>
      <c r="B53" s="52">
        <f t="shared" si="2"/>
        <v>1</v>
      </c>
      <c r="C53" s="45"/>
      <c r="D53" s="1156"/>
      <c r="E53" s="1156"/>
      <c r="F53" s="1156"/>
      <c r="G53" s="1156"/>
      <c r="H53" s="1156"/>
      <c r="I53" s="468"/>
      <c r="J53" s="76"/>
      <c r="K53" s="843"/>
      <c r="L53" s="1157"/>
      <c r="M53" s="1158"/>
      <c r="N53" s="1158"/>
      <c r="O53" s="1158"/>
      <c r="W53" s="50" t="s">
        <v>401</v>
      </c>
    </row>
    <row r="54" spans="1:23" x14ac:dyDescent="0.2">
      <c r="A54" s="75"/>
      <c r="B54" s="52">
        <f t="shared" si="2"/>
        <v>1</v>
      </c>
      <c r="C54" s="45"/>
      <c r="D54" s="1156"/>
      <c r="E54" s="1156"/>
      <c r="F54" s="1156"/>
      <c r="G54" s="1156"/>
      <c r="H54" s="1156"/>
      <c r="I54" s="468"/>
      <c r="J54" s="76"/>
      <c r="K54" s="843"/>
      <c r="L54" s="1157"/>
      <c r="M54" s="1158"/>
      <c r="N54" s="1158"/>
      <c r="O54" s="1158"/>
      <c r="W54" s="50" t="s">
        <v>402</v>
      </c>
    </row>
    <row r="55" spans="1:23" x14ac:dyDescent="0.2">
      <c r="A55" s="75"/>
      <c r="B55" s="52">
        <f t="shared" si="2"/>
        <v>1</v>
      </c>
      <c r="C55" s="45"/>
      <c r="D55" s="1156"/>
      <c r="E55" s="1156"/>
      <c r="F55" s="1156"/>
      <c r="G55" s="1156"/>
      <c r="H55" s="1156"/>
      <c r="I55" s="468"/>
      <c r="J55" s="76"/>
      <c r="K55" s="843"/>
      <c r="L55" s="1157"/>
      <c r="M55" s="1158"/>
      <c r="N55" s="1158"/>
      <c r="O55" s="1158"/>
      <c r="W55" s="50" t="s">
        <v>403</v>
      </c>
    </row>
    <row r="56" spans="1:23" x14ac:dyDescent="0.2">
      <c r="A56" s="75"/>
      <c r="B56" s="52">
        <f t="shared" si="2"/>
        <v>1</v>
      </c>
      <c r="C56" s="45"/>
      <c r="D56" s="1156"/>
      <c r="E56" s="1156"/>
      <c r="F56" s="1156"/>
      <c r="G56" s="1156"/>
      <c r="H56" s="1156"/>
      <c r="I56" s="468"/>
      <c r="J56" s="76"/>
      <c r="K56" s="843"/>
      <c r="L56" s="1157"/>
      <c r="M56" s="1158"/>
      <c r="N56" s="1158"/>
      <c r="O56" s="1158"/>
      <c r="W56" s="50" t="s">
        <v>404</v>
      </c>
    </row>
    <row r="57" spans="1:23" x14ac:dyDescent="0.2">
      <c r="A57" s="75"/>
      <c r="B57" s="52">
        <f t="shared" si="2"/>
        <v>1</v>
      </c>
      <c r="C57" s="45"/>
      <c r="D57" s="1156"/>
      <c r="E57" s="1156"/>
      <c r="F57" s="1156"/>
      <c r="G57" s="1156"/>
      <c r="H57" s="1156"/>
      <c r="I57" s="468"/>
      <c r="J57" s="76"/>
      <c r="K57" s="843"/>
      <c r="L57" s="1157"/>
      <c r="M57" s="1158"/>
      <c r="N57" s="1158"/>
      <c r="O57" s="1158"/>
      <c r="W57" s="50" t="s">
        <v>405</v>
      </c>
    </row>
    <row r="58" spans="1:23" x14ac:dyDescent="0.2">
      <c r="A58" s="75"/>
      <c r="B58" s="52">
        <f t="shared" si="2"/>
        <v>1</v>
      </c>
      <c r="C58" s="45"/>
      <c r="D58" s="1156"/>
      <c r="E58" s="1156"/>
      <c r="F58" s="1156"/>
      <c r="G58" s="1156"/>
      <c r="H58" s="1156"/>
      <c r="I58" s="468"/>
      <c r="J58" s="76"/>
      <c r="K58" s="843"/>
      <c r="L58" s="1157"/>
      <c r="M58" s="1158"/>
      <c r="N58" s="1158"/>
      <c r="O58" s="1158"/>
      <c r="W58" s="50" t="s">
        <v>406</v>
      </c>
    </row>
    <row r="59" spans="1:23" x14ac:dyDescent="0.2">
      <c r="A59" s="75"/>
      <c r="B59" s="52">
        <f t="shared" si="2"/>
        <v>1</v>
      </c>
      <c r="C59" s="45"/>
      <c r="D59" s="1156"/>
      <c r="E59" s="1156"/>
      <c r="F59" s="1156"/>
      <c r="G59" s="1156"/>
      <c r="H59" s="1156"/>
      <c r="I59" s="468"/>
      <c r="J59" s="76"/>
      <c r="K59" s="843"/>
      <c r="L59" s="1157"/>
      <c r="M59" s="1158"/>
      <c r="N59" s="1158"/>
      <c r="O59" s="1158"/>
      <c r="W59" s="50" t="s">
        <v>407</v>
      </c>
    </row>
    <row r="60" spans="1:23" x14ac:dyDescent="0.2">
      <c r="A60" s="75"/>
      <c r="B60" s="52">
        <f t="shared" si="2"/>
        <v>1</v>
      </c>
      <c r="C60" s="45"/>
      <c r="D60" s="1156"/>
      <c r="E60" s="1156"/>
      <c r="F60" s="1156"/>
      <c r="G60" s="1156"/>
      <c r="H60" s="1156"/>
      <c r="I60" s="468"/>
      <c r="J60" s="76"/>
      <c r="K60" s="843"/>
      <c r="L60" s="1157"/>
      <c r="M60" s="1158"/>
      <c r="N60" s="1158"/>
      <c r="O60" s="1158"/>
      <c r="W60" s="50" t="s">
        <v>408</v>
      </c>
    </row>
    <row r="61" spans="1:23" x14ac:dyDescent="0.2">
      <c r="A61" s="75"/>
      <c r="B61" s="52">
        <f t="shared" si="2"/>
        <v>1</v>
      </c>
      <c r="C61" s="45"/>
      <c r="D61" s="1156"/>
      <c r="E61" s="1156"/>
      <c r="F61" s="1156"/>
      <c r="G61" s="1156"/>
      <c r="H61" s="1156"/>
      <c r="I61" s="468"/>
      <c r="J61" s="76"/>
      <c r="K61" s="843"/>
      <c r="L61" s="1157"/>
      <c r="M61" s="1158"/>
      <c r="N61" s="1158"/>
      <c r="O61" s="1158"/>
      <c r="W61" s="50" t="s">
        <v>409</v>
      </c>
    </row>
    <row r="62" spans="1:23" x14ac:dyDescent="0.2">
      <c r="A62" s="75"/>
      <c r="B62" s="52">
        <f t="shared" si="2"/>
        <v>1</v>
      </c>
      <c r="C62" s="45"/>
      <c r="D62" s="1156"/>
      <c r="E62" s="1156"/>
      <c r="F62" s="1156"/>
      <c r="G62" s="1156"/>
      <c r="H62" s="1156"/>
      <c r="I62" s="468"/>
      <c r="J62" s="76"/>
      <c r="K62" s="843"/>
      <c r="L62" s="1157"/>
      <c r="M62" s="1158"/>
      <c r="N62" s="1158"/>
      <c r="O62" s="1158"/>
      <c r="W62" s="50" t="s">
        <v>410</v>
      </c>
    </row>
    <row r="63" spans="1:23" x14ac:dyDescent="0.2">
      <c r="A63" s="75"/>
      <c r="B63" s="52">
        <f t="shared" si="2"/>
        <v>1</v>
      </c>
      <c r="C63" s="45"/>
      <c r="D63" s="1156"/>
      <c r="E63" s="1156"/>
      <c r="F63" s="1156"/>
      <c r="G63" s="1156"/>
      <c r="H63" s="1156"/>
      <c r="I63" s="468"/>
      <c r="J63" s="76"/>
      <c r="K63" s="843"/>
      <c r="L63" s="1157"/>
      <c r="M63" s="1158"/>
      <c r="N63" s="1158"/>
      <c r="O63" s="1158"/>
      <c r="W63" s="50" t="s">
        <v>411</v>
      </c>
    </row>
    <row r="64" spans="1:23" x14ac:dyDescent="0.2">
      <c r="A64" s="75"/>
      <c r="B64" s="52">
        <f t="shared" si="2"/>
        <v>1</v>
      </c>
      <c r="C64" s="45"/>
      <c r="D64" s="1156"/>
      <c r="E64" s="1156"/>
      <c r="F64" s="1156"/>
      <c r="G64" s="1156"/>
      <c r="H64" s="1156"/>
      <c r="I64" s="468"/>
      <c r="J64" s="76"/>
      <c r="K64" s="843"/>
      <c r="L64" s="1157"/>
      <c r="M64" s="1158"/>
      <c r="N64" s="1158"/>
      <c r="O64" s="1158"/>
      <c r="W64" s="50" t="s">
        <v>413</v>
      </c>
    </row>
    <row r="65" spans="1:23" x14ac:dyDescent="0.2">
      <c r="A65" s="75"/>
      <c r="B65" s="52">
        <f t="shared" si="2"/>
        <v>1</v>
      </c>
      <c r="C65" s="45"/>
      <c r="D65" s="1156"/>
      <c r="E65" s="1156"/>
      <c r="F65" s="1156"/>
      <c r="G65" s="1156"/>
      <c r="H65" s="1156"/>
      <c r="I65" s="468"/>
      <c r="J65" s="76"/>
      <c r="K65" s="843"/>
      <c r="L65" s="1157"/>
      <c r="M65" s="1158"/>
      <c r="N65" s="1158"/>
      <c r="O65" s="1158"/>
      <c r="W65" s="50" t="s">
        <v>412</v>
      </c>
    </row>
    <row r="66" spans="1:23" x14ac:dyDescent="0.2">
      <c r="A66" s="75"/>
      <c r="B66" s="52">
        <f t="shared" si="2"/>
        <v>1</v>
      </c>
      <c r="C66" s="45"/>
      <c r="D66" s="1156"/>
      <c r="E66" s="1156"/>
      <c r="F66" s="1156"/>
      <c r="G66" s="1156"/>
      <c r="H66" s="1156"/>
      <c r="I66" s="468"/>
      <c r="J66" s="76"/>
      <c r="K66" s="843"/>
      <c r="L66" s="1157"/>
      <c r="M66" s="1158"/>
      <c r="N66" s="1158"/>
      <c r="O66" s="1158"/>
      <c r="W66" s="50" t="s">
        <v>414</v>
      </c>
    </row>
    <row r="67" spans="1:23" x14ac:dyDescent="0.2">
      <c r="A67" s="75"/>
      <c r="B67" s="52">
        <f t="shared" si="2"/>
        <v>1</v>
      </c>
      <c r="C67" s="45"/>
      <c r="D67" s="1156"/>
      <c r="E67" s="1156"/>
      <c r="F67" s="1156"/>
      <c r="G67" s="1156"/>
      <c r="H67" s="1156"/>
      <c r="I67" s="468"/>
      <c r="J67" s="76"/>
      <c r="K67" s="843"/>
      <c r="L67" s="1157"/>
      <c r="M67" s="1158"/>
      <c r="N67" s="1158"/>
      <c r="O67" s="1158"/>
      <c r="W67" s="50" t="s">
        <v>415</v>
      </c>
    </row>
    <row r="68" spans="1:23" x14ac:dyDescent="0.2">
      <c r="A68" s="75"/>
      <c r="B68" s="52">
        <f t="shared" si="2"/>
        <v>1</v>
      </c>
      <c r="C68" s="45"/>
      <c r="D68" s="1156"/>
      <c r="E68" s="1156"/>
      <c r="F68" s="1156"/>
      <c r="G68" s="1156"/>
      <c r="H68" s="1156"/>
      <c r="I68" s="468"/>
      <c r="J68" s="76"/>
      <c r="K68" s="843"/>
      <c r="L68" s="1157"/>
      <c r="M68" s="1158"/>
      <c r="N68" s="1158"/>
      <c r="O68" s="1158"/>
      <c r="W68" s="50" t="s">
        <v>416</v>
      </c>
    </row>
    <row r="69" spans="1:23" x14ac:dyDescent="0.2">
      <c r="A69" s="75"/>
      <c r="B69" s="52">
        <f t="shared" si="2"/>
        <v>1</v>
      </c>
      <c r="C69" s="45"/>
      <c r="D69" s="1156"/>
      <c r="E69" s="1156"/>
      <c r="F69" s="1156"/>
      <c r="G69" s="1156"/>
      <c r="H69" s="1156"/>
      <c r="I69" s="468"/>
      <c r="J69" s="76"/>
      <c r="K69" s="843"/>
      <c r="L69" s="1157"/>
      <c r="M69" s="1158"/>
      <c r="N69" s="1158"/>
      <c r="O69" s="1158"/>
      <c r="W69" s="50" t="s">
        <v>417</v>
      </c>
    </row>
    <row r="70" spans="1:23" x14ac:dyDescent="0.2">
      <c r="A70" s="75"/>
      <c r="B70" s="52">
        <f t="shared" si="2"/>
        <v>1</v>
      </c>
      <c r="C70" s="45"/>
      <c r="D70" s="1156"/>
      <c r="E70" s="1156"/>
      <c r="F70" s="1156"/>
      <c r="G70" s="1156"/>
      <c r="H70" s="1156"/>
      <c r="I70" s="468"/>
      <c r="J70" s="76"/>
      <c r="K70" s="843"/>
      <c r="L70" s="1157"/>
      <c r="M70" s="1158"/>
      <c r="N70" s="1158"/>
      <c r="O70" s="1158"/>
      <c r="W70" s="50" t="s">
        <v>418</v>
      </c>
    </row>
    <row r="71" spans="1:23" x14ac:dyDescent="0.2">
      <c r="A71" s="75"/>
      <c r="B71" s="52">
        <f t="shared" si="2"/>
        <v>1</v>
      </c>
      <c r="C71" s="45"/>
      <c r="D71" s="1156"/>
      <c r="E71" s="1156"/>
      <c r="F71" s="1156"/>
      <c r="G71" s="1156"/>
      <c r="H71" s="1156"/>
      <c r="I71" s="468"/>
      <c r="J71" s="76"/>
      <c r="K71" s="843"/>
      <c r="L71" s="1157"/>
      <c r="M71" s="1158"/>
      <c r="N71" s="1158"/>
      <c r="O71" s="1158"/>
      <c r="W71" s="50" t="s">
        <v>425</v>
      </c>
    </row>
    <row r="72" spans="1:23" x14ac:dyDescent="0.2">
      <c r="A72" s="75"/>
      <c r="B72" s="52">
        <f t="shared" si="2"/>
        <v>1</v>
      </c>
      <c r="C72" s="45"/>
      <c r="D72" s="1156"/>
      <c r="E72" s="1156"/>
      <c r="F72" s="1156"/>
      <c r="G72" s="1156"/>
      <c r="H72" s="1156"/>
      <c r="I72" s="468"/>
      <c r="J72" s="76"/>
      <c r="K72" s="843"/>
      <c r="L72" s="1157"/>
      <c r="M72" s="1158"/>
      <c r="N72" s="1158"/>
      <c r="O72" s="1158"/>
      <c r="W72" s="50" t="s">
        <v>419</v>
      </c>
    </row>
    <row r="73" spans="1:23" x14ac:dyDescent="0.2">
      <c r="A73" s="75"/>
      <c r="B73" s="52">
        <f t="shared" si="2"/>
        <v>1</v>
      </c>
      <c r="C73" s="45"/>
      <c r="D73" s="1156"/>
      <c r="E73" s="1156"/>
      <c r="F73" s="1156"/>
      <c r="G73" s="1156"/>
      <c r="H73" s="1156"/>
      <c r="I73" s="468"/>
      <c r="J73" s="76"/>
      <c r="K73" s="843"/>
      <c r="L73" s="1157"/>
      <c r="M73" s="1158"/>
      <c r="N73" s="1158"/>
      <c r="O73" s="1158"/>
      <c r="W73" s="50" t="s">
        <v>420</v>
      </c>
    </row>
    <row r="74" spans="1:23" x14ac:dyDescent="0.2">
      <c r="A74" s="75"/>
      <c r="B74" s="52">
        <f t="shared" si="2"/>
        <v>1</v>
      </c>
      <c r="C74" s="45"/>
      <c r="D74" s="1156"/>
      <c r="E74" s="1156"/>
      <c r="F74" s="1156"/>
      <c r="G74" s="1156"/>
      <c r="H74" s="1156"/>
      <c r="I74" s="468"/>
      <c r="J74" s="76"/>
      <c r="K74" s="843"/>
      <c r="L74" s="1157"/>
      <c r="M74" s="1158"/>
      <c r="N74" s="1158"/>
      <c r="O74" s="1158"/>
      <c r="W74" s="50" t="s">
        <v>421</v>
      </c>
    </row>
    <row r="75" spans="1:23" x14ac:dyDescent="0.2">
      <c r="A75" s="75"/>
      <c r="B75" s="52">
        <f t="shared" si="2"/>
        <v>1</v>
      </c>
      <c r="C75" s="45"/>
      <c r="D75" s="1156"/>
      <c r="E75" s="1156"/>
      <c r="F75" s="1156"/>
      <c r="G75" s="1156"/>
      <c r="H75" s="1156"/>
      <c r="I75" s="468"/>
      <c r="J75" s="76"/>
      <c r="K75" s="843"/>
      <c r="L75" s="1157"/>
      <c r="M75" s="1158"/>
      <c r="N75" s="1158"/>
      <c r="O75" s="1158"/>
      <c r="W75" s="50" t="s">
        <v>422</v>
      </c>
    </row>
    <row r="76" spans="1:23" x14ac:dyDescent="0.2">
      <c r="A76" s="75"/>
      <c r="B76" s="52">
        <f t="shared" si="2"/>
        <v>1</v>
      </c>
      <c r="C76" s="45"/>
      <c r="D76" s="1156"/>
      <c r="E76" s="1156"/>
      <c r="F76" s="1156"/>
      <c r="G76" s="1156"/>
      <c r="H76" s="1156"/>
      <c r="I76" s="468"/>
      <c r="J76" s="76"/>
      <c r="K76" s="843"/>
      <c r="L76" s="1157"/>
      <c r="M76" s="1158"/>
      <c r="N76" s="1158"/>
      <c r="O76" s="1158"/>
      <c r="W76" s="50" t="s">
        <v>423</v>
      </c>
    </row>
    <row r="77" spans="1:23" x14ac:dyDescent="0.2">
      <c r="A77" s="75"/>
      <c r="B77" s="52">
        <f t="shared" si="2"/>
        <v>1</v>
      </c>
      <c r="C77" s="45"/>
      <c r="D77" s="1156"/>
      <c r="E77" s="1156"/>
      <c r="F77" s="1156"/>
      <c r="G77" s="1156"/>
      <c r="H77" s="1156"/>
      <c r="I77" s="468"/>
      <c r="J77" s="76"/>
      <c r="K77" s="843"/>
      <c r="L77" s="1157"/>
      <c r="M77" s="1158"/>
      <c r="N77" s="1158"/>
      <c r="O77" s="1158"/>
      <c r="W77" s="50" t="s">
        <v>424</v>
      </c>
    </row>
    <row r="78" spans="1:23" x14ac:dyDescent="0.2">
      <c r="A78" s="75"/>
      <c r="B78" s="52">
        <f t="shared" ref="B78:B141" si="3">MONTH(A78)</f>
        <v>1</v>
      </c>
      <c r="C78" s="45"/>
      <c r="D78" s="1156"/>
      <c r="E78" s="1156"/>
      <c r="F78" s="1156"/>
      <c r="G78" s="1156"/>
      <c r="H78" s="1156"/>
      <c r="I78" s="468"/>
      <c r="J78" s="76"/>
      <c r="K78" s="843"/>
      <c r="L78" s="1157"/>
      <c r="M78" s="1158"/>
      <c r="N78" s="1158"/>
      <c r="O78" s="1158"/>
    </row>
    <row r="79" spans="1:23" x14ac:dyDescent="0.2">
      <c r="A79" s="75"/>
      <c r="B79" s="52">
        <f t="shared" si="3"/>
        <v>1</v>
      </c>
      <c r="C79" s="45"/>
      <c r="D79" s="1156"/>
      <c r="E79" s="1156"/>
      <c r="F79" s="1156"/>
      <c r="G79" s="1156"/>
      <c r="H79" s="1156"/>
      <c r="I79" s="468"/>
      <c r="J79" s="76"/>
      <c r="K79" s="843"/>
      <c r="L79" s="1157"/>
      <c r="M79" s="1158"/>
      <c r="N79" s="1158"/>
      <c r="O79" s="1158"/>
    </row>
    <row r="80" spans="1:23" x14ac:dyDescent="0.2">
      <c r="A80" s="75"/>
      <c r="B80" s="52">
        <f t="shared" si="3"/>
        <v>1</v>
      </c>
      <c r="C80" s="45"/>
      <c r="D80" s="1156"/>
      <c r="E80" s="1156"/>
      <c r="F80" s="1156"/>
      <c r="G80" s="1156"/>
      <c r="H80" s="1156"/>
      <c r="I80" s="468"/>
      <c r="J80" s="76"/>
      <c r="K80" s="843"/>
      <c r="L80" s="1157"/>
      <c r="M80" s="1158"/>
      <c r="N80" s="1158"/>
      <c r="O80" s="1158"/>
    </row>
    <row r="81" spans="1:15" x14ac:dyDescent="0.2">
      <c r="A81" s="75"/>
      <c r="B81" s="52">
        <f t="shared" si="3"/>
        <v>1</v>
      </c>
      <c r="C81" s="45"/>
      <c r="D81" s="1156"/>
      <c r="E81" s="1156"/>
      <c r="F81" s="1156"/>
      <c r="G81" s="1156"/>
      <c r="H81" s="1156"/>
      <c r="I81" s="468"/>
      <c r="J81" s="76"/>
      <c r="K81" s="843"/>
      <c r="L81" s="1157"/>
      <c r="M81" s="1158"/>
      <c r="N81" s="1158"/>
      <c r="O81" s="1158"/>
    </row>
    <row r="82" spans="1:15" x14ac:dyDescent="0.2">
      <c r="A82" s="75"/>
      <c r="B82" s="52">
        <f t="shared" si="3"/>
        <v>1</v>
      </c>
      <c r="C82" s="45"/>
      <c r="D82" s="1156"/>
      <c r="E82" s="1156"/>
      <c r="F82" s="1156"/>
      <c r="G82" s="1156"/>
      <c r="H82" s="1156"/>
      <c r="I82" s="468"/>
      <c r="J82" s="76"/>
      <c r="K82" s="843"/>
      <c r="L82" s="1157"/>
      <c r="M82" s="1158"/>
      <c r="N82" s="1158"/>
      <c r="O82" s="1158"/>
    </row>
    <row r="83" spans="1:15" x14ac:dyDescent="0.2">
      <c r="A83" s="75"/>
      <c r="B83" s="52">
        <f t="shared" si="3"/>
        <v>1</v>
      </c>
      <c r="C83" s="45"/>
      <c r="D83" s="1156"/>
      <c r="E83" s="1156"/>
      <c r="F83" s="1156"/>
      <c r="G83" s="1156"/>
      <c r="H83" s="1156"/>
      <c r="I83" s="468"/>
      <c r="J83" s="76"/>
      <c r="K83" s="843"/>
      <c r="L83" s="1157"/>
      <c r="M83" s="1158"/>
      <c r="N83" s="1158"/>
      <c r="O83" s="1158"/>
    </row>
    <row r="84" spans="1:15" x14ac:dyDescent="0.2">
      <c r="A84" s="75"/>
      <c r="B84" s="52">
        <f t="shared" si="3"/>
        <v>1</v>
      </c>
      <c r="C84" s="45"/>
      <c r="D84" s="1156"/>
      <c r="E84" s="1156"/>
      <c r="F84" s="1156"/>
      <c r="G84" s="1156"/>
      <c r="H84" s="1156"/>
      <c r="I84" s="468"/>
      <c r="J84" s="76"/>
      <c r="K84" s="843"/>
      <c r="L84" s="1157"/>
      <c r="M84" s="1158"/>
      <c r="N84" s="1158"/>
      <c r="O84" s="1158"/>
    </row>
    <row r="85" spans="1:15" x14ac:dyDescent="0.2">
      <c r="A85" s="75"/>
      <c r="B85" s="52">
        <f t="shared" si="3"/>
        <v>1</v>
      </c>
      <c r="C85" s="45"/>
      <c r="D85" s="1156"/>
      <c r="E85" s="1156"/>
      <c r="F85" s="1156"/>
      <c r="G85" s="1156"/>
      <c r="H85" s="1156"/>
      <c r="I85" s="468"/>
      <c r="J85" s="76"/>
      <c r="K85" s="843"/>
      <c r="L85" s="1157"/>
      <c r="M85" s="1158"/>
      <c r="N85" s="1158"/>
      <c r="O85" s="1158"/>
    </row>
    <row r="86" spans="1:15" x14ac:dyDescent="0.2">
      <c r="A86" s="75"/>
      <c r="B86" s="52">
        <f t="shared" si="3"/>
        <v>1</v>
      </c>
      <c r="C86" s="45"/>
      <c r="D86" s="1156"/>
      <c r="E86" s="1156"/>
      <c r="F86" s="1156"/>
      <c r="G86" s="1156"/>
      <c r="H86" s="1156"/>
      <c r="I86" s="468"/>
      <c r="J86" s="76"/>
      <c r="K86" s="843"/>
      <c r="L86" s="1157"/>
      <c r="M86" s="1158"/>
      <c r="N86" s="1158"/>
      <c r="O86" s="1158"/>
    </row>
    <row r="87" spans="1:15" x14ac:dyDescent="0.2">
      <c r="A87" s="75"/>
      <c r="B87" s="52">
        <f t="shared" si="3"/>
        <v>1</v>
      </c>
      <c r="C87" s="45"/>
      <c r="D87" s="1156"/>
      <c r="E87" s="1156"/>
      <c r="F87" s="1156"/>
      <c r="G87" s="1156"/>
      <c r="H87" s="1156"/>
      <c r="I87" s="468"/>
      <c r="J87" s="76"/>
      <c r="K87" s="843"/>
      <c r="L87" s="1157"/>
      <c r="M87" s="1158"/>
      <c r="N87" s="1158"/>
      <c r="O87" s="1158"/>
    </row>
    <row r="88" spans="1:15" x14ac:dyDescent="0.2">
      <c r="A88" s="75"/>
      <c r="B88" s="52">
        <f t="shared" si="3"/>
        <v>1</v>
      </c>
      <c r="C88" s="45"/>
      <c r="D88" s="1156"/>
      <c r="E88" s="1156"/>
      <c r="F88" s="1156"/>
      <c r="G88" s="1156"/>
      <c r="H88" s="1156"/>
      <c r="I88" s="468"/>
      <c r="J88" s="76"/>
      <c r="K88" s="843"/>
      <c r="L88" s="1157"/>
      <c r="M88" s="1158"/>
      <c r="N88" s="1158"/>
      <c r="O88" s="1158"/>
    </row>
    <row r="89" spans="1:15" x14ac:dyDescent="0.2">
      <c r="A89" s="75"/>
      <c r="B89" s="52">
        <f t="shared" si="3"/>
        <v>1</v>
      </c>
      <c r="C89" s="45"/>
      <c r="D89" s="1156"/>
      <c r="E89" s="1156"/>
      <c r="F89" s="1156"/>
      <c r="G89" s="1156"/>
      <c r="H89" s="1156"/>
      <c r="I89" s="468"/>
      <c r="J89" s="76"/>
      <c r="K89" s="843"/>
      <c r="L89" s="1157"/>
      <c r="M89" s="1158"/>
      <c r="N89" s="1158"/>
      <c r="O89" s="1158"/>
    </row>
    <row r="90" spans="1:15" x14ac:dyDescent="0.2">
      <c r="A90" s="75"/>
      <c r="B90" s="52">
        <f t="shared" si="3"/>
        <v>1</v>
      </c>
      <c r="C90" s="45"/>
      <c r="D90" s="1156"/>
      <c r="E90" s="1156"/>
      <c r="F90" s="1156"/>
      <c r="G90" s="1156"/>
      <c r="H90" s="1156"/>
      <c r="I90" s="468"/>
      <c r="J90" s="76"/>
      <c r="K90" s="843"/>
      <c r="L90" s="1157"/>
      <c r="M90" s="1158"/>
      <c r="N90" s="1158"/>
      <c r="O90" s="1158"/>
    </row>
    <row r="91" spans="1:15" x14ac:dyDescent="0.2">
      <c r="A91" s="75"/>
      <c r="B91" s="52">
        <f t="shared" si="3"/>
        <v>1</v>
      </c>
      <c r="C91" s="45"/>
      <c r="D91" s="1156"/>
      <c r="E91" s="1156"/>
      <c r="F91" s="1156"/>
      <c r="G91" s="1156"/>
      <c r="H91" s="1156"/>
      <c r="I91" s="468"/>
      <c r="J91" s="76"/>
      <c r="K91" s="843"/>
      <c r="L91" s="1157"/>
      <c r="M91" s="1158"/>
      <c r="N91" s="1158"/>
      <c r="O91" s="1158"/>
    </row>
    <row r="92" spans="1:15" x14ac:dyDescent="0.2">
      <c r="A92" s="75"/>
      <c r="B92" s="52">
        <f t="shared" si="3"/>
        <v>1</v>
      </c>
      <c r="C92" s="45"/>
      <c r="D92" s="1156"/>
      <c r="E92" s="1156"/>
      <c r="F92" s="1156"/>
      <c r="G92" s="1156"/>
      <c r="H92" s="1156"/>
      <c r="I92" s="468"/>
      <c r="J92" s="76"/>
      <c r="K92" s="843"/>
      <c r="L92" s="1157"/>
      <c r="M92" s="1158"/>
      <c r="N92" s="1158"/>
      <c r="O92" s="1158"/>
    </row>
    <row r="93" spans="1:15" x14ac:dyDescent="0.2">
      <c r="A93" s="75"/>
      <c r="B93" s="52">
        <f t="shared" si="3"/>
        <v>1</v>
      </c>
      <c r="C93" s="45"/>
      <c r="D93" s="1156"/>
      <c r="E93" s="1156"/>
      <c r="F93" s="1156"/>
      <c r="G93" s="1156"/>
      <c r="H93" s="1156"/>
      <c r="I93" s="468"/>
      <c r="J93" s="76"/>
      <c r="K93" s="843"/>
      <c r="L93" s="1157"/>
      <c r="M93" s="1158"/>
      <c r="N93" s="1158"/>
      <c r="O93" s="1158"/>
    </row>
    <row r="94" spans="1:15" x14ac:dyDescent="0.2">
      <c r="A94" s="75"/>
      <c r="B94" s="52">
        <f t="shared" si="3"/>
        <v>1</v>
      </c>
      <c r="C94" s="45"/>
      <c r="D94" s="1156"/>
      <c r="E94" s="1156"/>
      <c r="F94" s="1156"/>
      <c r="G94" s="1156"/>
      <c r="H94" s="1156"/>
      <c r="I94" s="468"/>
      <c r="J94" s="76"/>
      <c r="K94" s="843"/>
      <c r="L94" s="1157"/>
      <c r="M94" s="1158"/>
      <c r="N94" s="1158"/>
      <c r="O94" s="1158"/>
    </row>
    <row r="95" spans="1:15" x14ac:dyDescent="0.2">
      <c r="A95" s="75"/>
      <c r="B95" s="52">
        <f t="shared" si="3"/>
        <v>1</v>
      </c>
      <c r="C95" s="45"/>
      <c r="D95" s="1156"/>
      <c r="E95" s="1156"/>
      <c r="F95" s="1156"/>
      <c r="G95" s="1156"/>
      <c r="H95" s="1156"/>
      <c r="I95" s="468"/>
      <c r="J95" s="76"/>
      <c r="K95" s="843"/>
      <c r="L95" s="1157"/>
      <c r="M95" s="1158"/>
      <c r="N95" s="1158"/>
      <c r="O95" s="1158"/>
    </row>
    <row r="96" spans="1:15" x14ac:dyDescent="0.2">
      <c r="A96" s="75"/>
      <c r="B96" s="52">
        <f t="shared" si="3"/>
        <v>1</v>
      </c>
      <c r="C96" s="45"/>
      <c r="D96" s="1156"/>
      <c r="E96" s="1156"/>
      <c r="F96" s="1156"/>
      <c r="G96" s="1156"/>
      <c r="H96" s="1156"/>
      <c r="I96" s="468"/>
      <c r="J96" s="76"/>
      <c r="K96" s="843"/>
      <c r="L96" s="1157"/>
      <c r="M96" s="1158"/>
      <c r="N96" s="1158"/>
      <c r="O96" s="1158"/>
    </row>
    <row r="97" spans="1:15" x14ac:dyDescent="0.2">
      <c r="A97" s="75"/>
      <c r="B97" s="52">
        <f t="shared" si="3"/>
        <v>1</v>
      </c>
      <c r="C97" s="45"/>
      <c r="D97" s="1156"/>
      <c r="E97" s="1156"/>
      <c r="F97" s="1156"/>
      <c r="G97" s="1156"/>
      <c r="H97" s="1156"/>
      <c r="I97" s="468"/>
      <c r="J97" s="76"/>
      <c r="K97" s="843"/>
      <c r="L97" s="1157"/>
      <c r="M97" s="1158"/>
      <c r="N97" s="1158"/>
      <c r="O97" s="1158"/>
    </row>
    <row r="98" spans="1:15" x14ac:dyDescent="0.2">
      <c r="A98" s="75"/>
      <c r="B98" s="52">
        <f t="shared" si="3"/>
        <v>1</v>
      </c>
      <c r="C98" s="45"/>
      <c r="D98" s="1156"/>
      <c r="E98" s="1156"/>
      <c r="F98" s="1156"/>
      <c r="G98" s="1156"/>
      <c r="H98" s="1156"/>
      <c r="I98" s="468"/>
      <c r="J98" s="76"/>
      <c r="K98" s="843"/>
      <c r="L98" s="1157"/>
      <c r="M98" s="1158"/>
      <c r="N98" s="1158"/>
      <c r="O98" s="1158"/>
    </row>
    <row r="99" spans="1:15" x14ac:dyDescent="0.2">
      <c r="A99" s="75"/>
      <c r="B99" s="52">
        <f t="shared" si="3"/>
        <v>1</v>
      </c>
      <c r="C99" s="45"/>
      <c r="D99" s="1156"/>
      <c r="E99" s="1156"/>
      <c r="F99" s="1156"/>
      <c r="G99" s="1156"/>
      <c r="H99" s="1156"/>
      <c r="I99" s="468"/>
      <c r="J99" s="76"/>
      <c r="K99" s="843"/>
      <c r="L99" s="1157"/>
      <c r="M99" s="1158"/>
      <c r="N99" s="1158"/>
      <c r="O99" s="1158"/>
    </row>
    <row r="100" spans="1:15" x14ac:dyDescent="0.2">
      <c r="A100" s="75"/>
      <c r="B100" s="52">
        <f t="shared" si="3"/>
        <v>1</v>
      </c>
      <c r="C100" s="45"/>
      <c r="D100" s="1156"/>
      <c r="E100" s="1156"/>
      <c r="F100" s="1156"/>
      <c r="G100" s="1156"/>
      <c r="H100" s="1156"/>
      <c r="I100" s="468"/>
      <c r="J100" s="76"/>
      <c r="K100" s="843"/>
      <c r="L100" s="1157"/>
      <c r="M100" s="1158"/>
      <c r="N100" s="1158"/>
      <c r="O100" s="1158"/>
    </row>
    <row r="101" spans="1:15" x14ac:dyDescent="0.2">
      <c r="A101" s="75"/>
      <c r="B101" s="52">
        <f t="shared" si="3"/>
        <v>1</v>
      </c>
      <c r="C101" s="45"/>
      <c r="D101" s="1156"/>
      <c r="E101" s="1156"/>
      <c r="F101" s="1156"/>
      <c r="G101" s="1156"/>
      <c r="H101" s="1156"/>
      <c r="I101" s="468"/>
      <c r="J101" s="76"/>
      <c r="K101" s="843"/>
      <c r="L101" s="1157"/>
      <c r="M101" s="1158"/>
      <c r="N101" s="1158"/>
      <c r="O101" s="1158"/>
    </row>
    <row r="102" spans="1:15" x14ac:dyDescent="0.2">
      <c r="A102" s="75"/>
      <c r="B102" s="52">
        <f t="shared" si="3"/>
        <v>1</v>
      </c>
      <c r="C102" s="45"/>
      <c r="D102" s="1156"/>
      <c r="E102" s="1156"/>
      <c r="F102" s="1156"/>
      <c r="G102" s="1156"/>
      <c r="H102" s="1156"/>
      <c r="I102" s="468"/>
      <c r="J102" s="76"/>
      <c r="K102" s="843"/>
      <c r="L102" s="1157"/>
      <c r="M102" s="1158"/>
      <c r="N102" s="1158"/>
      <c r="O102" s="1158"/>
    </row>
    <row r="103" spans="1:15" x14ac:dyDescent="0.2">
      <c r="A103" s="75"/>
      <c r="B103" s="52">
        <f t="shared" si="3"/>
        <v>1</v>
      </c>
      <c r="C103" s="45"/>
      <c r="D103" s="1156"/>
      <c r="E103" s="1156"/>
      <c r="F103" s="1156"/>
      <c r="G103" s="1156"/>
      <c r="H103" s="1156"/>
      <c r="I103" s="468"/>
      <c r="J103" s="76"/>
      <c r="K103" s="843"/>
      <c r="L103" s="1157"/>
      <c r="M103" s="1158"/>
      <c r="N103" s="1158"/>
      <c r="O103" s="1158"/>
    </row>
    <row r="104" spans="1:15" x14ac:dyDescent="0.2">
      <c r="A104" s="75"/>
      <c r="B104" s="52">
        <f t="shared" si="3"/>
        <v>1</v>
      </c>
      <c r="C104" s="45"/>
      <c r="D104" s="1156"/>
      <c r="E104" s="1156"/>
      <c r="F104" s="1156"/>
      <c r="G104" s="1156"/>
      <c r="H104" s="1156"/>
      <c r="I104" s="468"/>
      <c r="J104" s="76"/>
      <c r="K104" s="843"/>
      <c r="L104" s="1157"/>
      <c r="M104" s="1158"/>
      <c r="N104" s="1158"/>
      <c r="O104" s="1158"/>
    </row>
    <row r="105" spans="1:15" x14ac:dyDescent="0.2">
      <c r="A105" s="75"/>
      <c r="B105" s="52">
        <f t="shared" si="3"/>
        <v>1</v>
      </c>
      <c r="C105" s="45"/>
      <c r="D105" s="1156"/>
      <c r="E105" s="1156"/>
      <c r="F105" s="1156"/>
      <c r="G105" s="1156"/>
      <c r="H105" s="1156"/>
      <c r="I105" s="468"/>
      <c r="J105" s="76"/>
      <c r="K105" s="843"/>
      <c r="L105" s="1157"/>
      <c r="M105" s="1158"/>
      <c r="N105" s="1158"/>
      <c r="O105" s="1158"/>
    </row>
    <row r="106" spans="1:15" x14ac:dyDescent="0.2">
      <c r="A106" s="75"/>
      <c r="B106" s="52">
        <f t="shared" si="3"/>
        <v>1</v>
      </c>
      <c r="C106" s="45"/>
      <c r="D106" s="1156"/>
      <c r="E106" s="1156"/>
      <c r="F106" s="1156"/>
      <c r="G106" s="1156"/>
      <c r="H106" s="1156"/>
      <c r="I106" s="468"/>
      <c r="J106" s="76"/>
      <c r="K106" s="843"/>
      <c r="L106" s="1157"/>
      <c r="M106" s="1158"/>
      <c r="N106" s="1158"/>
      <c r="O106" s="1158"/>
    </row>
    <row r="107" spans="1:15" x14ac:dyDescent="0.2">
      <c r="A107" s="75"/>
      <c r="B107" s="52">
        <f t="shared" si="3"/>
        <v>1</v>
      </c>
      <c r="C107" s="45"/>
      <c r="D107" s="1156"/>
      <c r="E107" s="1156"/>
      <c r="F107" s="1156"/>
      <c r="G107" s="1156"/>
      <c r="H107" s="1156"/>
      <c r="I107" s="468"/>
      <c r="J107" s="76"/>
      <c r="K107" s="843"/>
      <c r="L107" s="1157"/>
      <c r="M107" s="1158"/>
      <c r="N107" s="1158"/>
      <c r="O107" s="1158"/>
    </row>
    <row r="108" spans="1:15" x14ac:dyDescent="0.2">
      <c r="A108" s="75"/>
      <c r="B108" s="52">
        <f t="shared" si="3"/>
        <v>1</v>
      </c>
      <c r="C108" s="45"/>
      <c r="D108" s="1156"/>
      <c r="E108" s="1156"/>
      <c r="F108" s="1156"/>
      <c r="G108" s="1156"/>
      <c r="H108" s="1156"/>
      <c r="I108" s="468"/>
      <c r="J108" s="76"/>
      <c r="K108" s="843"/>
      <c r="L108" s="1157"/>
      <c r="M108" s="1158"/>
      <c r="N108" s="1158"/>
      <c r="O108" s="1158"/>
    </row>
    <row r="109" spans="1:15" x14ac:dyDescent="0.2">
      <c r="A109" s="75"/>
      <c r="B109" s="52">
        <f t="shared" si="3"/>
        <v>1</v>
      </c>
      <c r="C109" s="45"/>
      <c r="D109" s="1156"/>
      <c r="E109" s="1156"/>
      <c r="F109" s="1156"/>
      <c r="G109" s="1156"/>
      <c r="H109" s="1156"/>
      <c r="I109" s="468"/>
      <c r="J109" s="76"/>
      <c r="K109" s="843"/>
      <c r="L109" s="1157"/>
      <c r="M109" s="1158"/>
      <c r="N109" s="1158"/>
      <c r="O109" s="1158"/>
    </row>
    <row r="110" spans="1:15" x14ac:dyDescent="0.2">
      <c r="A110" s="75"/>
      <c r="B110" s="52">
        <f t="shared" si="3"/>
        <v>1</v>
      </c>
      <c r="C110" s="45"/>
      <c r="D110" s="1156"/>
      <c r="E110" s="1156"/>
      <c r="F110" s="1156"/>
      <c r="G110" s="1156"/>
      <c r="H110" s="1156"/>
      <c r="I110" s="468"/>
      <c r="J110" s="76"/>
      <c r="K110" s="843"/>
      <c r="L110" s="1157"/>
      <c r="M110" s="1158"/>
      <c r="N110" s="1158"/>
      <c r="O110" s="1158"/>
    </row>
    <row r="111" spans="1:15" x14ac:dyDescent="0.2">
      <c r="A111" s="75"/>
      <c r="B111" s="52">
        <f t="shared" si="3"/>
        <v>1</v>
      </c>
      <c r="C111" s="45"/>
      <c r="D111" s="1156"/>
      <c r="E111" s="1156"/>
      <c r="F111" s="1156"/>
      <c r="G111" s="1156"/>
      <c r="H111" s="1156"/>
      <c r="I111" s="468"/>
      <c r="J111" s="76"/>
      <c r="K111" s="843"/>
      <c r="L111" s="1157"/>
      <c r="M111" s="1158"/>
      <c r="N111" s="1158"/>
      <c r="O111" s="1158"/>
    </row>
    <row r="112" spans="1:15" x14ac:dyDescent="0.2">
      <c r="A112" s="75"/>
      <c r="B112" s="52">
        <f t="shared" si="3"/>
        <v>1</v>
      </c>
      <c r="C112" s="45"/>
      <c r="D112" s="1156"/>
      <c r="E112" s="1156"/>
      <c r="F112" s="1156"/>
      <c r="G112" s="1156"/>
      <c r="H112" s="1156"/>
      <c r="I112" s="468"/>
      <c r="J112" s="76"/>
      <c r="K112" s="843"/>
      <c r="L112" s="1157"/>
      <c r="M112" s="1158"/>
      <c r="N112" s="1158"/>
      <c r="O112" s="1158"/>
    </row>
    <row r="113" spans="1:15" x14ac:dyDescent="0.2">
      <c r="A113" s="75"/>
      <c r="B113" s="52">
        <f t="shared" si="3"/>
        <v>1</v>
      </c>
      <c r="C113" s="45"/>
      <c r="D113" s="1156"/>
      <c r="E113" s="1156"/>
      <c r="F113" s="1156"/>
      <c r="G113" s="1156"/>
      <c r="H113" s="1156"/>
      <c r="I113" s="468"/>
      <c r="J113" s="76"/>
      <c r="K113" s="843"/>
      <c r="L113" s="1157"/>
      <c r="M113" s="1158"/>
      <c r="N113" s="1158"/>
      <c r="O113" s="1158"/>
    </row>
    <row r="114" spans="1:15" x14ac:dyDescent="0.2">
      <c r="A114" s="75"/>
      <c r="B114" s="52">
        <f t="shared" si="3"/>
        <v>1</v>
      </c>
      <c r="C114" s="45"/>
      <c r="D114" s="1156"/>
      <c r="E114" s="1156"/>
      <c r="F114" s="1156"/>
      <c r="G114" s="1156"/>
      <c r="H114" s="1156"/>
      <c r="I114" s="468"/>
      <c r="J114" s="76"/>
      <c r="K114" s="843"/>
      <c r="L114" s="1157"/>
      <c r="M114" s="1158"/>
      <c r="N114" s="1158"/>
      <c r="O114" s="1158"/>
    </row>
    <row r="115" spans="1:15" x14ac:dyDescent="0.2">
      <c r="A115" s="75"/>
      <c r="B115" s="52">
        <f t="shared" si="3"/>
        <v>1</v>
      </c>
      <c r="C115" s="45"/>
      <c r="D115" s="1156"/>
      <c r="E115" s="1156"/>
      <c r="F115" s="1156"/>
      <c r="G115" s="1156"/>
      <c r="H115" s="1156"/>
      <c r="I115" s="468"/>
      <c r="J115" s="76"/>
      <c r="K115" s="843"/>
      <c r="L115" s="1157"/>
      <c r="M115" s="1158"/>
      <c r="N115" s="1158"/>
      <c r="O115" s="1158"/>
    </row>
    <row r="116" spans="1:15" x14ac:dyDescent="0.2">
      <c r="A116" s="75"/>
      <c r="B116" s="52">
        <f t="shared" si="3"/>
        <v>1</v>
      </c>
      <c r="C116" s="45"/>
      <c r="D116" s="1156"/>
      <c r="E116" s="1156"/>
      <c r="F116" s="1156"/>
      <c r="G116" s="1156"/>
      <c r="H116" s="1156"/>
      <c r="I116" s="468"/>
      <c r="J116" s="76"/>
      <c r="K116" s="843"/>
      <c r="L116" s="1157"/>
      <c r="M116" s="1158"/>
      <c r="N116" s="1158"/>
      <c r="O116" s="1158"/>
    </row>
    <row r="117" spans="1:15" x14ac:dyDescent="0.2">
      <c r="A117" s="75"/>
      <c r="B117" s="52">
        <f t="shared" si="3"/>
        <v>1</v>
      </c>
      <c r="C117" s="45"/>
      <c r="D117" s="1156"/>
      <c r="E117" s="1156"/>
      <c r="F117" s="1156"/>
      <c r="G117" s="1156"/>
      <c r="H117" s="1156"/>
      <c r="I117" s="468"/>
      <c r="J117" s="76"/>
      <c r="K117" s="843"/>
      <c r="L117" s="1157"/>
      <c r="M117" s="1158"/>
      <c r="N117" s="1158"/>
      <c r="O117" s="1158"/>
    </row>
    <row r="118" spans="1:15" x14ac:dyDescent="0.2">
      <c r="A118" s="75"/>
      <c r="B118" s="52">
        <f t="shared" si="3"/>
        <v>1</v>
      </c>
      <c r="C118" s="45"/>
      <c r="D118" s="1156"/>
      <c r="E118" s="1156"/>
      <c r="F118" s="1156"/>
      <c r="G118" s="1156"/>
      <c r="H118" s="1156"/>
      <c r="I118" s="468"/>
      <c r="J118" s="76"/>
      <c r="K118" s="843"/>
      <c r="L118" s="1157"/>
      <c r="M118" s="1158"/>
      <c r="N118" s="1158"/>
      <c r="O118" s="1158"/>
    </row>
    <row r="119" spans="1:15" x14ac:dyDescent="0.2">
      <c r="A119" s="75"/>
      <c r="B119" s="52">
        <f t="shared" si="3"/>
        <v>1</v>
      </c>
      <c r="C119" s="45"/>
      <c r="D119" s="1156"/>
      <c r="E119" s="1156"/>
      <c r="F119" s="1156"/>
      <c r="G119" s="1156"/>
      <c r="H119" s="1156"/>
      <c r="I119" s="468"/>
      <c r="J119" s="76"/>
      <c r="K119" s="843"/>
      <c r="L119" s="1157"/>
      <c r="M119" s="1158"/>
      <c r="N119" s="1158"/>
      <c r="O119" s="1158"/>
    </row>
    <row r="120" spans="1:15" x14ac:dyDescent="0.2">
      <c r="A120" s="75"/>
      <c r="B120" s="52">
        <f t="shared" si="3"/>
        <v>1</v>
      </c>
      <c r="C120" s="45"/>
      <c r="D120" s="1156"/>
      <c r="E120" s="1156"/>
      <c r="F120" s="1156"/>
      <c r="G120" s="1156"/>
      <c r="H120" s="1156"/>
      <c r="I120" s="468"/>
      <c r="J120" s="76"/>
      <c r="K120" s="843"/>
      <c r="L120" s="1157"/>
      <c r="M120" s="1158"/>
      <c r="N120" s="1158"/>
      <c r="O120" s="1158"/>
    </row>
    <row r="121" spans="1:15" x14ac:dyDescent="0.2">
      <c r="A121" s="75"/>
      <c r="B121" s="52">
        <f t="shared" si="3"/>
        <v>1</v>
      </c>
      <c r="C121" s="45"/>
      <c r="D121" s="1156"/>
      <c r="E121" s="1156"/>
      <c r="F121" s="1156"/>
      <c r="G121" s="1156"/>
      <c r="H121" s="1156"/>
      <c r="I121" s="468"/>
      <c r="J121" s="76"/>
      <c r="K121" s="843"/>
      <c r="L121" s="1157"/>
      <c r="M121" s="1158"/>
      <c r="N121" s="1158"/>
      <c r="O121" s="1158"/>
    </row>
    <row r="122" spans="1:15" x14ac:dyDescent="0.2">
      <c r="A122" s="75"/>
      <c r="B122" s="52">
        <f t="shared" si="3"/>
        <v>1</v>
      </c>
      <c r="C122" s="45"/>
      <c r="D122" s="1156"/>
      <c r="E122" s="1156"/>
      <c r="F122" s="1156"/>
      <c r="G122" s="1156"/>
      <c r="H122" s="1156"/>
      <c r="I122" s="468"/>
      <c r="J122" s="76"/>
      <c r="K122" s="843"/>
      <c r="L122" s="1157"/>
      <c r="M122" s="1158"/>
      <c r="N122" s="1158"/>
      <c r="O122" s="1158"/>
    </row>
    <row r="123" spans="1:15" x14ac:dyDescent="0.2">
      <c r="A123" s="75"/>
      <c r="B123" s="52">
        <f t="shared" si="3"/>
        <v>1</v>
      </c>
      <c r="C123" s="45"/>
      <c r="D123" s="1156"/>
      <c r="E123" s="1156"/>
      <c r="F123" s="1156"/>
      <c r="G123" s="1156"/>
      <c r="H123" s="1156"/>
      <c r="I123" s="468"/>
      <c r="J123" s="76"/>
      <c r="K123" s="843"/>
      <c r="L123" s="1157"/>
      <c r="M123" s="1158"/>
      <c r="N123" s="1158"/>
      <c r="O123" s="1158"/>
    </row>
    <row r="124" spans="1:15" x14ac:dyDescent="0.2">
      <c r="A124" s="75"/>
      <c r="B124" s="52">
        <f t="shared" si="3"/>
        <v>1</v>
      </c>
      <c r="C124" s="45"/>
      <c r="D124" s="1156"/>
      <c r="E124" s="1156"/>
      <c r="F124" s="1156"/>
      <c r="G124" s="1156"/>
      <c r="H124" s="1156"/>
      <c r="I124" s="468"/>
      <c r="J124" s="76"/>
      <c r="K124" s="843"/>
      <c r="L124" s="1157"/>
      <c r="M124" s="1158"/>
      <c r="N124" s="1158"/>
      <c r="O124" s="1158"/>
    </row>
    <row r="125" spans="1:15" x14ac:dyDescent="0.2">
      <c r="A125" s="75"/>
      <c r="B125" s="52">
        <f t="shared" si="3"/>
        <v>1</v>
      </c>
      <c r="C125" s="45"/>
      <c r="D125" s="1156"/>
      <c r="E125" s="1156"/>
      <c r="F125" s="1156"/>
      <c r="G125" s="1156"/>
      <c r="H125" s="1156"/>
      <c r="I125" s="468"/>
      <c r="J125" s="76"/>
      <c r="K125" s="843"/>
      <c r="L125" s="1157"/>
      <c r="M125" s="1158"/>
      <c r="N125" s="1158"/>
      <c r="O125" s="1158"/>
    </row>
    <row r="126" spans="1:15" x14ac:dyDescent="0.2">
      <c r="A126" s="75"/>
      <c r="B126" s="52">
        <f t="shared" si="3"/>
        <v>1</v>
      </c>
      <c r="C126" s="45"/>
      <c r="D126" s="1156"/>
      <c r="E126" s="1156"/>
      <c r="F126" s="1156"/>
      <c r="G126" s="1156"/>
      <c r="H126" s="1156"/>
      <c r="I126" s="468"/>
      <c r="J126" s="76"/>
      <c r="K126" s="843"/>
      <c r="L126" s="1157"/>
      <c r="M126" s="1158"/>
      <c r="N126" s="1158"/>
      <c r="O126" s="1158"/>
    </row>
    <row r="127" spans="1:15" x14ac:dyDescent="0.2">
      <c r="A127" s="75"/>
      <c r="B127" s="52">
        <f t="shared" si="3"/>
        <v>1</v>
      </c>
      <c r="C127" s="45"/>
      <c r="D127" s="1156"/>
      <c r="E127" s="1156"/>
      <c r="F127" s="1156"/>
      <c r="G127" s="1156"/>
      <c r="H127" s="1156"/>
      <c r="I127" s="468"/>
      <c r="J127" s="76"/>
      <c r="K127" s="843"/>
      <c r="L127" s="1157"/>
      <c r="M127" s="1158"/>
      <c r="N127" s="1158"/>
      <c r="O127" s="1158"/>
    </row>
    <row r="128" spans="1:15" x14ac:dyDescent="0.2">
      <c r="A128" s="75"/>
      <c r="B128" s="52">
        <f t="shared" si="3"/>
        <v>1</v>
      </c>
      <c r="C128" s="45"/>
      <c r="D128" s="1156"/>
      <c r="E128" s="1156"/>
      <c r="F128" s="1156"/>
      <c r="G128" s="1156"/>
      <c r="H128" s="1156"/>
      <c r="I128" s="468"/>
      <c r="J128" s="76"/>
      <c r="K128" s="843"/>
      <c r="L128" s="1157"/>
      <c r="M128" s="1158"/>
      <c r="N128" s="1158"/>
      <c r="O128" s="1158"/>
    </row>
    <row r="129" spans="1:15" x14ac:dyDescent="0.2">
      <c r="A129" s="75"/>
      <c r="B129" s="52">
        <f t="shared" si="3"/>
        <v>1</v>
      </c>
      <c r="C129" s="45"/>
      <c r="D129" s="1156"/>
      <c r="E129" s="1156"/>
      <c r="F129" s="1156"/>
      <c r="G129" s="1156"/>
      <c r="H129" s="1156"/>
      <c r="I129" s="468"/>
      <c r="J129" s="76"/>
      <c r="K129" s="843"/>
      <c r="L129" s="1157"/>
      <c r="M129" s="1158"/>
      <c r="N129" s="1158"/>
      <c r="O129" s="1158"/>
    </row>
    <row r="130" spans="1:15" x14ac:dyDescent="0.2">
      <c r="A130" s="75"/>
      <c r="B130" s="52">
        <f t="shared" si="3"/>
        <v>1</v>
      </c>
      <c r="C130" s="45"/>
      <c r="D130" s="1156"/>
      <c r="E130" s="1156"/>
      <c r="F130" s="1156"/>
      <c r="G130" s="1156"/>
      <c r="H130" s="1156"/>
      <c r="I130" s="468"/>
      <c r="J130" s="76"/>
      <c r="K130" s="843"/>
      <c r="L130" s="1157"/>
      <c r="M130" s="1158"/>
      <c r="N130" s="1158"/>
      <c r="O130" s="1158"/>
    </row>
    <row r="131" spans="1:15" x14ac:dyDescent="0.2">
      <c r="A131" s="75"/>
      <c r="B131" s="52">
        <f t="shared" si="3"/>
        <v>1</v>
      </c>
      <c r="C131" s="45"/>
      <c r="D131" s="1156"/>
      <c r="E131" s="1156"/>
      <c r="F131" s="1156"/>
      <c r="G131" s="1156"/>
      <c r="H131" s="1156"/>
      <c r="I131" s="468"/>
      <c r="J131" s="76"/>
      <c r="K131" s="843"/>
      <c r="L131" s="1157"/>
      <c r="M131" s="1158"/>
      <c r="N131" s="1158"/>
      <c r="O131" s="1158"/>
    </row>
    <row r="132" spans="1:15" x14ac:dyDescent="0.2">
      <c r="A132" s="75"/>
      <c r="B132" s="52">
        <f t="shared" si="3"/>
        <v>1</v>
      </c>
      <c r="C132" s="45"/>
      <c r="D132" s="1156"/>
      <c r="E132" s="1156"/>
      <c r="F132" s="1156"/>
      <c r="G132" s="1156"/>
      <c r="H132" s="1156"/>
      <c r="I132" s="468"/>
      <c r="J132" s="76"/>
      <c r="K132" s="843"/>
      <c r="L132" s="1157"/>
      <c r="M132" s="1158"/>
      <c r="N132" s="1158"/>
      <c r="O132" s="1158"/>
    </row>
    <row r="133" spans="1:15" x14ac:dyDescent="0.2">
      <c r="A133" s="75"/>
      <c r="B133" s="52">
        <f t="shared" si="3"/>
        <v>1</v>
      </c>
      <c r="C133" s="45"/>
      <c r="D133" s="1156"/>
      <c r="E133" s="1156"/>
      <c r="F133" s="1156"/>
      <c r="G133" s="1156"/>
      <c r="H133" s="1156"/>
      <c r="I133" s="468"/>
      <c r="J133" s="76"/>
      <c r="K133" s="843"/>
      <c r="L133" s="1157"/>
      <c r="M133" s="1158"/>
      <c r="N133" s="1158"/>
      <c r="O133" s="1158"/>
    </row>
    <row r="134" spans="1:15" x14ac:dyDescent="0.2">
      <c r="A134" s="75"/>
      <c r="B134" s="52">
        <f t="shared" si="3"/>
        <v>1</v>
      </c>
      <c r="C134" s="45"/>
      <c r="D134" s="1156"/>
      <c r="E134" s="1156"/>
      <c r="F134" s="1156"/>
      <c r="G134" s="1156"/>
      <c r="H134" s="1156"/>
      <c r="I134" s="468"/>
      <c r="J134" s="76"/>
      <c r="K134" s="843"/>
      <c r="L134" s="1157"/>
      <c r="M134" s="1158"/>
      <c r="N134" s="1158"/>
      <c r="O134" s="1158"/>
    </row>
    <row r="135" spans="1:15" x14ac:dyDescent="0.2">
      <c r="A135" s="75"/>
      <c r="B135" s="52">
        <f t="shared" si="3"/>
        <v>1</v>
      </c>
      <c r="C135" s="45"/>
      <c r="D135" s="1156"/>
      <c r="E135" s="1156"/>
      <c r="F135" s="1156"/>
      <c r="G135" s="1156"/>
      <c r="H135" s="1156"/>
      <c r="I135" s="468"/>
      <c r="J135" s="76"/>
      <c r="K135" s="843"/>
      <c r="L135" s="1157"/>
      <c r="M135" s="1158"/>
      <c r="N135" s="1158"/>
      <c r="O135" s="1158"/>
    </row>
    <row r="136" spans="1:15" x14ac:dyDescent="0.2">
      <c r="A136" s="75"/>
      <c r="B136" s="52">
        <f t="shared" si="3"/>
        <v>1</v>
      </c>
      <c r="C136" s="45"/>
      <c r="D136" s="1156"/>
      <c r="E136" s="1156"/>
      <c r="F136" s="1156"/>
      <c r="G136" s="1156"/>
      <c r="H136" s="1156"/>
      <c r="I136" s="468"/>
      <c r="J136" s="76"/>
      <c r="K136" s="843"/>
      <c r="L136" s="1157"/>
      <c r="M136" s="1158"/>
      <c r="N136" s="1158"/>
      <c r="O136" s="1158"/>
    </row>
    <row r="137" spans="1:15" x14ac:dyDescent="0.2">
      <c r="A137" s="75"/>
      <c r="B137" s="52">
        <f t="shared" si="3"/>
        <v>1</v>
      </c>
      <c r="C137" s="45"/>
      <c r="D137" s="1156"/>
      <c r="E137" s="1156"/>
      <c r="F137" s="1156"/>
      <c r="G137" s="1156"/>
      <c r="H137" s="1156"/>
      <c r="I137" s="468"/>
      <c r="J137" s="76"/>
      <c r="K137" s="843"/>
      <c r="L137" s="1157"/>
      <c r="M137" s="1158"/>
      <c r="N137" s="1158"/>
      <c r="O137" s="1158"/>
    </row>
    <row r="138" spans="1:15" x14ac:dyDescent="0.2">
      <c r="A138" s="75"/>
      <c r="B138" s="52">
        <f t="shared" si="3"/>
        <v>1</v>
      </c>
      <c r="C138" s="45"/>
      <c r="D138" s="1156"/>
      <c r="E138" s="1156"/>
      <c r="F138" s="1156"/>
      <c r="G138" s="1156"/>
      <c r="H138" s="1156"/>
      <c r="I138" s="468"/>
      <c r="J138" s="76"/>
      <c r="K138" s="843"/>
      <c r="L138" s="1157"/>
      <c r="M138" s="1158"/>
      <c r="N138" s="1158"/>
      <c r="O138" s="1158"/>
    </row>
    <row r="139" spans="1:15" x14ac:dyDescent="0.2">
      <c r="A139" s="75"/>
      <c r="B139" s="52">
        <f t="shared" si="3"/>
        <v>1</v>
      </c>
      <c r="C139" s="45"/>
      <c r="D139" s="1156"/>
      <c r="E139" s="1156"/>
      <c r="F139" s="1156"/>
      <c r="G139" s="1156"/>
      <c r="H139" s="1156"/>
      <c r="I139" s="468"/>
      <c r="J139" s="76"/>
      <c r="K139" s="843"/>
      <c r="L139" s="1157"/>
      <c r="M139" s="1158"/>
      <c r="N139" s="1158"/>
      <c r="O139" s="1158"/>
    </row>
    <row r="140" spans="1:15" x14ac:dyDescent="0.2">
      <c r="A140" s="75"/>
      <c r="B140" s="52">
        <f t="shared" si="3"/>
        <v>1</v>
      </c>
      <c r="C140" s="45"/>
      <c r="D140" s="1156"/>
      <c r="E140" s="1156"/>
      <c r="F140" s="1156"/>
      <c r="G140" s="1156"/>
      <c r="H140" s="1156"/>
      <c r="I140" s="468"/>
      <c r="J140" s="76"/>
      <c r="K140" s="843"/>
      <c r="L140" s="1157"/>
      <c r="M140" s="1158"/>
      <c r="N140" s="1158"/>
      <c r="O140" s="1158"/>
    </row>
    <row r="141" spans="1:15" x14ac:dyDescent="0.2">
      <c r="A141" s="75"/>
      <c r="B141" s="52">
        <f t="shared" si="3"/>
        <v>1</v>
      </c>
      <c r="C141" s="45"/>
      <c r="D141" s="1156"/>
      <c r="E141" s="1156"/>
      <c r="F141" s="1156"/>
      <c r="G141" s="1156"/>
      <c r="H141" s="1156"/>
      <c r="I141" s="468"/>
      <c r="J141" s="76"/>
      <c r="K141" s="843"/>
      <c r="L141" s="1157"/>
      <c r="M141" s="1158"/>
      <c r="N141" s="1158"/>
      <c r="O141" s="1158"/>
    </row>
    <row r="142" spans="1:15" x14ac:dyDescent="0.2">
      <c r="A142" s="75"/>
      <c r="B142" s="52">
        <f t="shared" ref="B142:B205" si="4">MONTH(A142)</f>
        <v>1</v>
      </c>
      <c r="C142" s="45"/>
      <c r="D142" s="1156"/>
      <c r="E142" s="1156"/>
      <c r="F142" s="1156"/>
      <c r="G142" s="1156"/>
      <c r="H142" s="1156"/>
      <c r="I142" s="468"/>
      <c r="J142" s="76"/>
      <c r="K142" s="843"/>
      <c r="L142" s="1157"/>
      <c r="M142" s="1158"/>
      <c r="N142" s="1158"/>
      <c r="O142" s="1158"/>
    </row>
    <row r="143" spans="1:15" x14ac:dyDescent="0.2">
      <c r="A143" s="75"/>
      <c r="B143" s="52">
        <f t="shared" si="4"/>
        <v>1</v>
      </c>
      <c r="C143" s="45"/>
      <c r="D143" s="1156"/>
      <c r="E143" s="1156"/>
      <c r="F143" s="1156"/>
      <c r="G143" s="1156"/>
      <c r="H143" s="1156"/>
      <c r="I143" s="468"/>
      <c r="J143" s="76"/>
      <c r="K143" s="843"/>
      <c r="L143" s="1157"/>
      <c r="M143" s="1158"/>
      <c r="N143" s="1158"/>
      <c r="O143" s="1158"/>
    </row>
    <row r="144" spans="1:15" x14ac:dyDescent="0.2">
      <c r="A144" s="75"/>
      <c r="B144" s="52">
        <f t="shared" si="4"/>
        <v>1</v>
      </c>
      <c r="C144" s="45"/>
      <c r="D144" s="1156"/>
      <c r="E144" s="1156"/>
      <c r="F144" s="1156"/>
      <c r="G144" s="1156"/>
      <c r="H144" s="1156"/>
      <c r="I144" s="468"/>
      <c r="J144" s="76"/>
      <c r="K144" s="843"/>
      <c r="L144" s="1157"/>
      <c r="M144" s="1158"/>
      <c r="N144" s="1158"/>
      <c r="O144" s="1158"/>
    </row>
    <row r="145" spans="1:15" x14ac:dyDescent="0.2">
      <c r="A145" s="75"/>
      <c r="B145" s="52">
        <f t="shared" si="4"/>
        <v>1</v>
      </c>
      <c r="C145" s="45"/>
      <c r="D145" s="1156"/>
      <c r="E145" s="1156"/>
      <c r="F145" s="1156"/>
      <c r="G145" s="1156"/>
      <c r="H145" s="1156"/>
      <c r="I145" s="468"/>
      <c r="J145" s="76"/>
      <c r="K145" s="843"/>
      <c r="L145" s="1157"/>
      <c r="M145" s="1158"/>
      <c r="N145" s="1158"/>
      <c r="O145" s="1158"/>
    </row>
    <row r="146" spans="1:15" x14ac:dyDescent="0.2">
      <c r="A146" s="75"/>
      <c r="B146" s="52">
        <f t="shared" si="4"/>
        <v>1</v>
      </c>
      <c r="C146" s="45"/>
      <c r="D146" s="1156"/>
      <c r="E146" s="1156"/>
      <c r="F146" s="1156"/>
      <c r="G146" s="1156"/>
      <c r="H146" s="1156"/>
      <c r="I146" s="468"/>
      <c r="J146" s="76"/>
      <c r="K146" s="843"/>
      <c r="L146" s="1157"/>
      <c r="M146" s="1158"/>
      <c r="N146" s="1158"/>
      <c r="O146" s="1158"/>
    </row>
    <row r="147" spans="1:15" x14ac:dyDescent="0.2">
      <c r="A147" s="75"/>
      <c r="B147" s="52">
        <f t="shared" si="4"/>
        <v>1</v>
      </c>
      <c r="C147" s="45"/>
      <c r="D147" s="1156"/>
      <c r="E147" s="1156"/>
      <c r="F147" s="1156"/>
      <c r="G147" s="1156"/>
      <c r="H147" s="1156"/>
      <c r="I147" s="468"/>
      <c r="J147" s="76"/>
      <c r="K147" s="843"/>
      <c r="L147" s="1157"/>
      <c r="M147" s="1158"/>
      <c r="N147" s="1158"/>
      <c r="O147" s="1158"/>
    </row>
    <row r="148" spans="1:15" x14ac:dyDescent="0.2">
      <c r="A148" s="75"/>
      <c r="B148" s="52">
        <f t="shared" si="4"/>
        <v>1</v>
      </c>
      <c r="C148" s="45"/>
      <c r="D148" s="1156"/>
      <c r="E148" s="1156"/>
      <c r="F148" s="1156"/>
      <c r="G148" s="1156"/>
      <c r="H148" s="1156"/>
      <c r="I148" s="468"/>
      <c r="J148" s="76"/>
      <c r="K148" s="843"/>
      <c r="L148" s="1157"/>
      <c r="M148" s="1158"/>
      <c r="N148" s="1158"/>
      <c r="O148" s="1158"/>
    </row>
    <row r="149" spans="1:15" x14ac:dyDescent="0.2">
      <c r="A149" s="75"/>
      <c r="B149" s="52">
        <f t="shared" si="4"/>
        <v>1</v>
      </c>
      <c r="C149" s="45"/>
      <c r="D149" s="1156"/>
      <c r="E149" s="1156"/>
      <c r="F149" s="1156"/>
      <c r="G149" s="1156"/>
      <c r="H149" s="1156"/>
      <c r="I149" s="468"/>
      <c r="J149" s="76"/>
      <c r="K149" s="843"/>
      <c r="L149" s="1157"/>
      <c r="M149" s="1158"/>
      <c r="N149" s="1158"/>
      <c r="O149" s="1158"/>
    </row>
    <row r="150" spans="1:15" x14ac:dyDescent="0.2">
      <c r="A150" s="75"/>
      <c r="B150" s="52">
        <f t="shared" si="4"/>
        <v>1</v>
      </c>
      <c r="C150" s="45"/>
      <c r="D150" s="1156"/>
      <c r="E150" s="1156"/>
      <c r="F150" s="1156"/>
      <c r="G150" s="1156"/>
      <c r="H150" s="1156"/>
      <c r="I150" s="468"/>
      <c r="J150" s="76"/>
      <c r="K150" s="843"/>
      <c r="L150" s="1157"/>
      <c r="M150" s="1158"/>
      <c r="N150" s="1158"/>
      <c r="O150" s="1158"/>
    </row>
    <row r="151" spans="1:15" x14ac:dyDescent="0.2">
      <c r="A151" s="75"/>
      <c r="B151" s="52">
        <f t="shared" si="4"/>
        <v>1</v>
      </c>
      <c r="C151" s="45"/>
      <c r="D151" s="1156"/>
      <c r="E151" s="1156"/>
      <c r="F151" s="1156"/>
      <c r="G151" s="1156"/>
      <c r="H151" s="1156"/>
      <c r="I151" s="468"/>
      <c r="J151" s="76"/>
      <c r="K151" s="843"/>
      <c r="L151" s="1157"/>
      <c r="M151" s="1158"/>
      <c r="N151" s="1158"/>
      <c r="O151" s="1158"/>
    </row>
    <row r="152" spans="1:15" x14ac:dyDescent="0.2">
      <c r="A152" s="75"/>
      <c r="B152" s="52">
        <f t="shared" si="4"/>
        <v>1</v>
      </c>
      <c r="C152" s="45"/>
      <c r="D152" s="1156"/>
      <c r="E152" s="1156"/>
      <c r="F152" s="1156"/>
      <c r="G152" s="1156"/>
      <c r="H152" s="1156"/>
      <c r="I152" s="468"/>
      <c r="J152" s="76"/>
      <c r="K152" s="843"/>
      <c r="L152" s="1157"/>
      <c r="M152" s="1158"/>
      <c r="N152" s="1158"/>
      <c r="O152" s="1158"/>
    </row>
    <row r="153" spans="1:15" x14ac:dyDescent="0.2">
      <c r="A153" s="75"/>
      <c r="B153" s="52">
        <f t="shared" si="4"/>
        <v>1</v>
      </c>
      <c r="C153" s="45"/>
      <c r="D153" s="1156"/>
      <c r="E153" s="1156"/>
      <c r="F153" s="1156"/>
      <c r="G153" s="1156"/>
      <c r="H153" s="1156"/>
      <c r="I153" s="468"/>
      <c r="J153" s="76"/>
      <c r="K153" s="843"/>
      <c r="L153" s="1157"/>
      <c r="M153" s="1158"/>
      <c r="N153" s="1158"/>
      <c r="O153" s="1158"/>
    </row>
    <row r="154" spans="1:15" x14ac:dyDescent="0.2">
      <c r="A154" s="75"/>
      <c r="B154" s="52">
        <f t="shared" si="4"/>
        <v>1</v>
      </c>
      <c r="C154" s="45"/>
      <c r="D154" s="1156"/>
      <c r="E154" s="1156"/>
      <c r="F154" s="1156"/>
      <c r="G154" s="1156"/>
      <c r="H154" s="1156"/>
      <c r="I154" s="468"/>
      <c r="J154" s="76"/>
      <c r="K154" s="843"/>
      <c r="L154" s="1157"/>
      <c r="M154" s="1158"/>
      <c r="N154" s="1158"/>
      <c r="O154" s="1158"/>
    </row>
    <row r="155" spans="1:15" x14ac:dyDescent="0.2">
      <c r="A155" s="75"/>
      <c r="B155" s="52">
        <f t="shared" si="4"/>
        <v>1</v>
      </c>
      <c r="C155" s="45"/>
      <c r="D155" s="1156"/>
      <c r="E155" s="1156"/>
      <c r="F155" s="1156"/>
      <c r="G155" s="1156"/>
      <c r="H155" s="1156"/>
      <c r="I155" s="468"/>
      <c r="J155" s="76"/>
      <c r="K155" s="843"/>
      <c r="L155" s="1157"/>
      <c r="M155" s="1158"/>
      <c r="N155" s="1158"/>
      <c r="O155" s="1158"/>
    </row>
    <row r="156" spans="1:15" x14ac:dyDescent="0.2">
      <c r="A156" s="75"/>
      <c r="B156" s="52">
        <f t="shared" si="4"/>
        <v>1</v>
      </c>
      <c r="C156" s="45"/>
      <c r="D156" s="1156"/>
      <c r="E156" s="1156"/>
      <c r="F156" s="1156"/>
      <c r="G156" s="1156"/>
      <c r="H156" s="1156"/>
      <c r="I156" s="468"/>
      <c r="J156" s="76"/>
      <c r="K156" s="843"/>
      <c r="L156" s="1157"/>
      <c r="M156" s="1158"/>
      <c r="N156" s="1158"/>
      <c r="O156" s="1158"/>
    </row>
    <row r="157" spans="1:15" x14ac:dyDescent="0.2">
      <c r="A157" s="75"/>
      <c r="B157" s="52">
        <f t="shared" si="4"/>
        <v>1</v>
      </c>
      <c r="C157" s="45"/>
      <c r="D157" s="1156"/>
      <c r="E157" s="1156"/>
      <c r="F157" s="1156"/>
      <c r="G157" s="1156"/>
      <c r="H157" s="1156"/>
      <c r="I157" s="468"/>
      <c r="J157" s="76"/>
      <c r="K157" s="843"/>
      <c r="L157" s="1157"/>
      <c r="M157" s="1158"/>
      <c r="N157" s="1158"/>
      <c r="O157" s="1158"/>
    </row>
    <row r="158" spans="1:15" x14ac:dyDescent="0.2">
      <c r="A158" s="75"/>
      <c r="B158" s="52">
        <f t="shared" si="4"/>
        <v>1</v>
      </c>
      <c r="C158" s="45"/>
      <c r="D158" s="1156"/>
      <c r="E158" s="1156"/>
      <c r="F158" s="1156"/>
      <c r="G158" s="1156"/>
      <c r="H158" s="1156"/>
      <c r="I158" s="468"/>
      <c r="J158" s="76"/>
      <c r="K158" s="843"/>
      <c r="L158" s="1157"/>
      <c r="M158" s="1158"/>
      <c r="N158" s="1158"/>
      <c r="O158" s="1158"/>
    </row>
    <row r="159" spans="1:15" x14ac:dyDescent="0.2">
      <c r="A159" s="75"/>
      <c r="B159" s="52">
        <f t="shared" si="4"/>
        <v>1</v>
      </c>
      <c r="C159" s="45"/>
      <c r="D159" s="1156"/>
      <c r="E159" s="1156"/>
      <c r="F159" s="1156"/>
      <c r="G159" s="1156"/>
      <c r="H159" s="1156"/>
      <c r="I159" s="468"/>
      <c r="J159" s="76"/>
      <c r="K159" s="843"/>
      <c r="L159" s="1157"/>
      <c r="M159" s="1158"/>
      <c r="N159" s="1158"/>
      <c r="O159" s="1158"/>
    </row>
    <row r="160" spans="1:15" x14ac:dyDescent="0.2">
      <c r="A160" s="75"/>
      <c r="B160" s="52">
        <f t="shared" si="4"/>
        <v>1</v>
      </c>
      <c r="C160" s="45"/>
      <c r="D160" s="1156"/>
      <c r="E160" s="1156"/>
      <c r="F160" s="1156"/>
      <c r="G160" s="1156"/>
      <c r="H160" s="1156"/>
      <c r="I160" s="468"/>
      <c r="J160" s="76"/>
      <c r="K160" s="843"/>
      <c r="L160" s="1157"/>
      <c r="M160" s="1158"/>
      <c r="N160" s="1158"/>
      <c r="O160" s="1158"/>
    </row>
    <row r="161" spans="1:15" x14ac:dyDescent="0.2">
      <c r="A161" s="75"/>
      <c r="B161" s="52">
        <f t="shared" si="4"/>
        <v>1</v>
      </c>
      <c r="C161" s="45"/>
      <c r="D161" s="1156"/>
      <c r="E161" s="1156"/>
      <c r="F161" s="1156"/>
      <c r="G161" s="1156"/>
      <c r="H161" s="1156"/>
      <c r="I161" s="468"/>
      <c r="J161" s="76"/>
      <c r="K161" s="843"/>
      <c r="L161" s="1157"/>
      <c r="M161" s="1158"/>
      <c r="N161" s="1158"/>
      <c r="O161" s="1158"/>
    </row>
    <row r="162" spans="1:15" x14ac:dyDescent="0.2">
      <c r="A162" s="75"/>
      <c r="B162" s="52">
        <f t="shared" si="4"/>
        <v>1</v>
      </c>
      <c r="C162" s="45"/>
      <c r="D162" s="1156"/>
      <c r="E162" s="1156"/>
      <c r="F162" s="1156"/>
      <c r="G162" s="1156"/>
      <c r="H162" s="1156"/>
      <c r="I162" s="468"/>
      <c r="J162" s="76"/>
      <c r="K162" s="843"/>
      <c r="L162" s="1157"/>
      <c r="M162" s="1158"/>
      <c r="N162" s="1158"/>
      <c r="O162" s="1158"/>
    </row>
    <row r="163" spans="1:15" x14ac:dyDescent="0.2">
      <c r="A163" s="75"/>
      <c r="B163" s="52">
        <f t="shared" si="4"/>
        <v>1</v>
      </c>
      <c r="C163" s="45"/>
      <c r="D163" s="1156"/>
      <c r="E163" s="1156"/>
      <c r="F163" s="1156"/>
      <c r="G163" s="1156"/>
      <c r="H163" s="1156"/>
      <c r="I163" s="468"/>
      <c r="J163" s="76"/>
      <c r="K163" s="843"/>
      <c r="L163" s="1157"/>
      <c r="M163" s="1158"/>
      <c r="N163" s="1158"/>
      <c r="O163" s="1158"/>
    </row>
    <row r="164" spans="1:15" x14ac:dyDescent="0.2">
      <c r="A164" s="75"/>
      <c r="B164" s="52">
        <f t="shared" si="4"/>
        <v>1</v>
      </c>
      <c r="C164" s="45"/>
      <c r="D164" s="1156"/>
      <c r="E164" s="1156"/>
      <c r="F164" s="1156"/>
      <c r="G164" s="1156"/>
      <c r="H164" s="1156"/>
      <c r="I164" s="468"/>
      <c r="J164" s="76"/>
      <c r="K164" s="843"/>
      <c r="L164" s="1157"/>
      <c r="M164" s="1158"/>
      <c r="N164" s="1158"/>
      <c r="O164" s="1158"/>
    </row>
    <row r="165" spans="1:15" x14ac:dyDescent="0.2">
      <c r="A165" s="75"/>
      <c r="B165" s="52">
        <f t="shared" si="4"/>
        <v>1</v>
      </c>
      <c r="C165" s="45"/>
      <c r="D165" s="1156"/>
      <c r="E165" s="1156"/>
      <c r="F165" s="1156"/>
      <c r="G165" s="1156"/>
      <c r="H165" s="1156"/>
      <c r="I165" s="468"/>
      <c r="J165" s="76"/>
      <c r="K165" s="843"/>
      <c r="L165" s="1157"/>
      <c r="M165" s="1158"/>
      <c r="N165" s="1158"/>
      <c r="O165" s="1158"/>
    </row>
    <row r="166" spans="1:15" x14ac:dyDescent="0.2">
      <c r="A166" s="75"/>
      <c r="B166" s="52">
        <f t="shared" si="4"/>
        <v>1</v>
      </c>
      <c r="C166" s="45"/>
      <c r="D166" s="1156"/>
      <c r="E166" s="1156"/>
      <c r="F166" s="1156"/>
      <c r="G166" s="1156"/>
      <c r="H166" s="1156"/>
      <c r="I166" s="468"/>
      <c r="J166" s="76"/>
      <c r="K166" s="843"/>
      <c r="L166" s="1157"/>
      <c r="M166" s="1158"/>
      <c r="N166" s="1158"/>
      <c r="O166" s="1158"/>
    </row>
    <row r="167" spans="1:15" x14ac:dyDescent="0.2">
      <c r="A167" s="75"/>
      <c r="B167" s="52">
        <f t="shared" si="4"/>
        <v>1</v>
      </c>
      <c r="C167" s="45"/>
      <c r="D167" s="1156"/>
      <c r="E167" s="1156"/>
      <c r="F167" s="1156"/>
      <c r="G167" s="1156"/>
      <c r="H167" s="1156"/>
      <c r="I167" s="468"/>
      <c r="J167" s="76"/>
      <c r="K167" s="843"/>
      <c r="L167" s="1157"/>
      <c r="M167" s="1158"/>
      <c r="N167" s="1158"/>
      <c r="O167" s="1158"/>
    </row>
    <row r="168" spans="1:15" x14ac:dyDescent="0.2">
      <c r="A168" s="75"/>
      <c r="B168" s="52">
        <f t="shared" si="4"/>
        <v>1</v>
      </c>
      <c r="C168" s="45"/>
      <c r="D168" s="1156"/>
      <c r="E168" s="1156"/>
      <c r="F168" s="1156"/>
      <c r="G168" s="1156"/>
      <c r="H168" s="1156"/>
      <c r="I168" s="468"/>
      <c r="J168" s="76"/>
      <c r="K168" s="843"/>
      <c r="L168" s="1157"/>
      <c r="M168" s="1158"/>
      <c r="N168" s="1158"/>
      <c r="O168" s="1158"/>
    </row>
    <row r="169" spans="1:15" x14ac:dyDescent="0.2">
      <c r="A169" s="75"/>
      <c r="B169" s="52">
        <f t="shared" si="4"/>
        <v>1</v>
      </c>
      <c r="C169" s="45"/>
      <c r="D169" s="1156"/>
      <c r="E169" s="1156"/>
      <c r="F169" s="1156"/>
      <c r="G169" s="1156"/>
      <c r="H169" s="1156"/>
      <c r="I169" s="468"/>
      <c r="J169" s="76"/>
      <c r="K169" s="843"/>
      <c r="L169" s="1157"/>
      <c r="M169" s="1158"/>
      <c r="N169" s="1158"/>
      <c r="O169" s="1158"/>
    </row>
    <row r="170" spans="1:15" x14ac:dyDescent="0.2">
      <c r="A170" s="75"/>
      <c r="B170" s="52">
        <f t="shared" si="4"/>
        <v>1</v>
      </c>
      <c r="C170" s="45"/>
      <c r="D170" s="1156"/>
      <c r="E170" s="1156"/>
      <c r="F170" s="1156"/>
      <c r="G170" s="1156"/>
      <c r="H170" s="1156"/>
      <c r="I170" s="468"/>
      <c r="J170" s="76"/>
      <c r="K170" s="843"/>
      <c r="L170" s="1157"/>
      <c r="M170" s="1158"/>
      <c r="N170" s="1158"/>
      <c r="O170" s="1158"/>
    </row>
    <row r="171" spans="1:15" x14ac:dyDescent="0.2">
      <c r="A171" s="75"/>
      <c r="B171" s="52">
        <f t="shared" si="4"/>
        <v>1</v>
      </c>
      <c r="C171" s="45"/>
      <c r="D171" s="1156"/>
      <c r="E171" s="1156"/>
      <c r="F171" s="1156"/>
      <c r="G171" s="1156"/>
      <c r="H171" s="1156"/>
      <c r="I171" s="468"/>
      <c r="J171" s="76"/>
      <c r="K171" s="843"/>
      <c r="L171" s="1157"/>
      <c r="M171" s="1158"/>
      <c r="N171" s="1158"/>
      <c r="O171" s="1158"/>
    </row>
    <row r="172" spans="1:15" x14ac:dyDescent="0.2">
      <c r="A172" s="75"/>
      <c r="B172" s="52">
        <f t="shared" si="4"/>
        <v>1</v>
      </c>
      <c r="C172" s="45"/>
      <c r="D172" s="1156"/>
      <c r="E172" s="1156"/>
      <c r="F172" s="1156"/>
      <c r="G172" s="1156"/>
      <c r="H172" s="1156"/>
      <c r="I172" s="468"/>
      <c r="J172" s="76"/>
      <c r="K172" s="843"/>
      <c r="L172" s="1157"/>
      <c r="M172" s="1158"/>
      <c r="N172" s="1158"/>
      <c r="O172" s="1158"/>
    </row>
    <row r="173" spans="1:15" x14ac:dyDescent="0.2">
      <c r="A173" s="75"/>
      <c r="B173" s="52">
        <f t="shared" si="4"/>
        <v>1</v>
      </c>
      <c r="C173" s="45"/>
      <c r="D173" s="1156"/>
      <c r="E173" s="1156"/>
      <c r="F173" s="1156"/>
      <c r="G173" s="1156"/>
      <c r="H173" s="1156"/>
      <c r="I173" s="468"/>
      <c r="J173" s="76"/>
      <c r="K173" s="843"/>
      <c r="L173" s="1157"/>
      <c r="M173" s="1158"/>
      <c r="N173" s="1158"/>
      <c r="O173" s="1158"/>
    </row>
    <row r="174" spans="1:15" x14ac:dyDescent="0.2">
      <c r="A174" s="75"/>
      <c r="B174" s="52">
        <f t="shared" si="4"/>
        <v>1</v>
      </c>
      <c r="C174" s="45"/>
      <c r="D174" s="1156"/>
      <c r="E174" s="1156"/>
      <c r="F174" s="1156"/>
      <c r="G174" s="1156"/>
      <c r="H174" s="1156"/>
      <c r="I174" s="468"/>
      <c r="J174" s="76"/>
      <c r="K174" s="843"/>
      <c r="L174" s="1157"/>
      <c r="M174" s="1158"/>
      <c r="N174" s="1158"/>
      <c r="O174" s="1158"/>
    </row>
    <row r="175" spans="1:15" x14ac:dyDescent="0.2">
      <c r="A175" s="75"/>
      <c r="B175" s="52">
        <f t="shared" si="4"/>
        <v>1</v>
      </c>
      <c r="C175" s="45"/>
      <c r="D175" s="1156"/>
      <c r="E175" s="1156"/>
      <c r="F175" s="1156"/>
      <c r="G175" s="1156"/>
      <c r="H175" s="1156"/>
      <c r="I175" s="468"/>
      <c r="J175" s="76"/>
      <c r="K175" s="843"/>
      <c r="L175" s="1157"/>
      <c r="M175" s="1158"/>
      <c r="N175" s="1158"/>
      <c r="O175" s="1158"/>
    </row>
    <row r="176" spans="1:15" x14ac:dyDescent="0.2">
      <c r="A176" s="75"/>
      <c r="B176" s="52">
        <f t="shared" si="4"/>
        <v>1</v>
      </c>
      <c r="C176" s="45"/>
      <c r="D176" s="1156"/>
      <c r="E176" s="1156"/>
      <c r="F176" s="1156"/>
      <c r="G176" s="1156"/>
      <c r="H176" s="1156"/>
      <c r="I176" s="468"/>
      <c r="J176" s="76"/>
      <c r="K176" s="843"/>
      <c r="L176" s="1157"/>
      <c r="M176" s="1158"/>
      <c r="N176" s="1158"/>
      <c r="O176" s="1158"/>
    </row>
    <row r="177" spans="1:15" x14ac:dyDescent="0.2">
      <c r="A177" s="75"/>
      <c r="B177" s="52">
        <f t="shared" si="4"/>
        <v>1</v>
      </c>
      <c r="C177" s="45"/>
      <c r="D177" s="1156"/>
      <c r="E177" s="1156"/>
      <c r="F177" s="1156"/>
      <c r="G177" s="1156"/>
      <c r="H177" s="1156"/>
      <c r="I177" s="468"/>
      <c r="J177" s="76"/>
      <c r="K177" s="843"/>
      <c r="L177" s="1157"/>
      <c r="M177" s="1158"/>
      <c r="N177" s="1158"/>
      <c r="O177" s="1158"/>
    </row>
    <row r="178" spans="1:15" x14ac:dyDescent="0.2">
      <c r="A178" s="75"/>
      <c r="B178" s="52">
        <f t="shared" si="4"/>
        <v>1</v>
      </c>
      <c r="C178" s="45"/>
      <c r="D178" s="1156"/>
      <c r="E178" s="1156"/>
      <c r="F178" s="1156"/>
      <c r="G178" s="1156"/>
      <c r="H178" s="1156"/>
      <c r="I178" s="468"/>
      <c r="J178" s="76"/>
      <c r="K178" s="843"/>
      <c r="L178" s="1157"/>
      <c r="M178" s="1158"/>
      <c r="N178" s="1158"/>
      <c r="O178" s="1158"/>
    </row>
    <row r="179" spans="1:15" x14ac:dyDescent="0.2">
      <c r="A179" s="75"/>
      <c r="B179" s="52">
        <f t="shared" si="4"/>
        <v>1</v>
      </c>
      <c r="C179" s="45"/>
      <c r="D179" s="1156"/>
      <c r="E179" s="1156"/>
      <c r="F179" s="1156"/>
      <c r="G179" s="1156"/>
      <c r="H179" s="1156"/>
      <c r="I179" s="468"/>
      <c r="J179" s="76"/>
      <c r="K179" s="843"/>
      <c r="L179" s="1157"/>
      <c r="M179" s="1158"/>
      <c r="N179" s="1158"/>
      <c r="O179" s="1158"/>
    </row>
    <row r="180" spans="1:15" x14ac:dyDescent="0.2">
      <c r="A180" s="75"/>
      <c r="B180" s="52">
        <f t="shared" si="4"/>
        <v>1</v>
      </c>
      <c r="C180" s="45"/>
      <c r="D180" s="1156"/>
      <c r="E180" s="1156"/>
      <c r="F180" s="1156"/>
      <c r="G180" s="1156"/>
      <c r="H180" s="1156"/>
      <c r="I180" s="468"/>
      <c r="J180" s="76"/>
      <c r="K180" s="843"/>
      <c r="L180" s="1157"/>
      <c r="M180" s="1158"/>
      <c r="N180" s="1158"/>
      <c r="O180" s="1158"/>
    </row>
    <row r="181" spans="1:15" x14ac:dyDescent="0.2">
      <c r="A181" s="75"/>
      <c r="B181" s="52">
        <f t="shared" si="4"/>
        <v>1</v>
      </c>
      <c r="C181" s="45"/>
      <c r="D181" s="1156"/>
      <c r="E181" s="1156"/>
      <c r="F181" s="1156"/>
      <c r="G181" s="1156"/>
      <c r="H181" s="1156"/>
      <c r="I181" s="468"/>
      <c r="J181" s="76"/>
      <c r="K181" s="843"/>
      <c r="L181" s="1157"/>
      <c r="M181" s="1158"/>
      <c r="N181" s="1158"/>
      <c r="O181" s="1158"/>
    </row>
    <row r="182" spans="1:15" x14ac:dyDescent="0.2">
      <c r="A182" s="75"/>
      <c r="B182" s="52">
        <f t="shared" si="4"/>
        <v>1</v>
      </c>
      <c r="C182" s="45"/>
      <c r="D182" s="1156"/>
      <c r="E182" s="1156"/>
      <c r="F182" s="1156"/>
      <c r="G182" s="1156"/>
      <c r="H182" s="1156"/>
      <c r="I182" s="468"/>
      <c r="J182" s="76"/>
      <c r="K182" s="843"/>
      <c r="L182" s="1157"/>
      <c r="M182" s="1158"/>
      <c r="N182" s="1158"/>
      <c r="O182" s="1158"/>
    </row>
    <row r="183" spans="1:15" x14ac:dyDescent="0.2">
      <c r="A183" s="75"/>
      <c r="B183" s="52">
        <f t="shared" si="4"/>
        <v>1</v>
      </c>
      <c r="C183" s="45"/>
      <c r="D183" s="1156"/>
      <c r="E183" s="1156"/>
      <c r="F183" s="1156"/>
      <c r="G183" s="1156"/>
      <c r="H183" s="1156"/>
      <c r="I183" s="468"/>
      <c r="J183" s="76"/>
      <c r="K183" s="843"/>
      <c r="L183" s="1157"/>
      <c r="M183" s="1158"/>
      <c r="N183" s="1158"/>
      <c r="O183" s="1158"/>
    </row>
    <row r="184" spans="1:15" x14ac:dyDescent="0.2">
      <c r="A184" s="75"/>
      <c r="B184" s="52">
        <f t="shared" si="4"/>
        <v>1</v>
      </c>
      <c r="C184" s="45"/>
      <c r="D184" s="1156"/>
      <c r="E184" s="1156"/>
      <c r="F184" s="1156"/>
      <c r="G184" s="1156"/>
      <c r="H184" s="1156"/>
      <c r="I184" s="468"/>
      <c r="J184" s="76"/>
      <c r="K184" s="843"/>
      <c r="L184" s="1157"/>
      <c r="M184" s="1158"/>
      <c r="N184" s="1158"/>
      <c r="O184" s="1158"/>
    </row>
    <row r="185" spans="1:15" x14ac:dyDescent="0.2">
      <c r="A185" s="75"/>
      <c r="B185" s="52">
        <f t="shared" si="4"/>
        <v>1</v>
      </c>
      <c r="C185" s="45"/>
      <c r="D185" s="1156"/>
      <c r="E185" s="1156"/>
      <c r="F185" s="1156"/>
      <c r="G185" s="1156"/>
      <c r="H185" s="1156"/>
      <c r="I185" s="468"/>
      <c r="J185" s="76"/>
      <c r="K185" s="843"/>
      <c r="L185" s="1157"/>
      <c r="M185" s="1158"/>
      <c r="N185" s="1158"/>
      <c r="O185" s="1158"/>
    </row>
    <row r="186" spans="1:15" x14ac:dyDescent="0.2">
      <c r="A186" s="75"/>
      <c r="B186" s="52">
        <f t="shared" si="4"/>
        <v>1</v>
      </c>
      <c r="C186" s="45"/>
      <c r="D186" s="1156"/>
      <c r="E186" s="1156"/>
      <c r="F186" s="1156"/>
      <c r="G186" s="1156"/>
      <c r="H186" s="1156"/>
      <c r="I186" s="468"/>
      <c r="J186" s="76"/>
      <c r="K186" s="843"/>
      <c r="L186" s="1157"/>
      <c r="M186" s="1158"/>
      <c r="N186" s="1158"/>
      <c r="O186" s="1158"/>
    </row>
    <row r="187" spans="1:15" x14ac:dyDescent="0.2">
      <c r="A187" s="75"/>
      <c r="B187" s="52">
        <f t="shared" si="4"/>
        <v>1</v>
      </c>
      <c r="C187" s="45"/>
      <c r="D187" s="1156"/>
      <c r="E187" s="1156"/>
      <c r="F187" s="1156"/>
      <c r="G187" s="1156"/>
      <c r="H187" s="1156"/>
      <c r="I187" s="468"/>
      <c r="J187" s="76"/>
      <c r="K187" s="843"/>
      <c r="L187" s="1157"/>
      <c r="M187" s="1158"/>
      <c r="N187" s="1158"/>
      <c r="O187" s="1158"/>
    </row>
    <row r="188" spans="1:15" x14ac:dyDescent="0.2">
      <c r="A188" s="75"/>
      <c r="B188" s="52">
        <f t="shared" si="4"/>
        <v>1</v>
      </c>
      <c r="C188" s="45"/>
      <c r="D188" s="1156"/>
      <c r="E188" s="1156"/>
      <c r="F188" s="1156"/>
      <c r="G188" s="1156"/>
      <c r="H188" s="1156"/>
      <c r="I188" s="468"/>
      <c r="J188" s="76"/>
      <c r="K188" s="843"/>
      <c r="L188" s="1157"/>
      <c r="M188" s="1158"/>
      <c r="N188" s="1158"/>
      <c r="O188" s="1158"/>
    </row>
    <row r="189" spans="1:15" x14ac:dyDescent="0.2">
      <c r="A189" s="75"/>
      <c r="B189" s="52">
        <f t="shared" si="4"/>
        <v>1</v>
      </c>
      <c r="C189" s="45"/>
      <c r="D189" s="1156"/>
      <c r="E189" s="1156"/>
      <c r="F189" s="1156"/>
      <c r="G189" s="1156"/>
      <c r="H189" s="1156"/>
      <c r="I189" s="468"/>
      <c r="J189" s="76"/>
      <c r="K189" s="843"/>
      <c r="L189" s="1157"/>
      <c r="M189" s="1158"/>
      <c r="N189" s="1158"/>
      <c r="O189" s="1158"/>
    </row>
    <row r="190" spans="1:15" x14ac:dyDescent="0.2">
      <c r="A190" s="75"/>
      <c r="B190" s="52">
        <f t="shared" si="4"/>
        <v>1</v>
      </c>
      <c r="C190" s="45"/>
      <c r="D190" s="1156"/>
      <c r="E190" s="1156"/>
      <c r="F190" s="1156"/>
      <c r="G190" s="1156"/>
      <c r="H190" s="1156"/>
      <c r="I190" s="468"/>
      <c r="J190" s="76"/>
      <c r="K190" s="843"/>
      <c r="L190" s="1157"/>
      <c r="M190" s="1158"/>
      <c r="N190" s="1158"/>
      <c r="O190" s="1158"/>
    </row>
    <row r="191" spans="1:15" x14ac:dyDescent="0.2">
      <c r="A191" s="75"/>
      <c r="B191" s="52">
        <f t="shared" si="4"/>
        <v>1</v>
      </c>
      <c r="C191" s="45"/>
      <c r="D191" s="1156"/>
      <c r="E191" s="1156"/>
      <c r="F191" s="1156"/>
      <c r="G191" s="1156"/>
      <c r="H191" s="1156"/>
      <c r="I191" s="468"/>
      <c r="J191" s="76"/>
      <c r="K191" s="843"/>
      <c r="L191" s="1157"/>
      <c r="M191" s="1158"/>
      <c r="N191" s="1158"/>
      <c r="O191" s="1158"/>
    </row>
    <row r="192" spans="1:15" x14ac:dyDescent="0.2">
      <c r="A192" s="75"/>
      <c r="B192" s="52">
        <f t="shared" si="4"/>
        <v>1</v>
      </c>
      <c r="C192" s="45"/>
      <c r="D192" s="1156"/>
      <c r="E192" s="1156"/>
      <c r="F192" s="1156"/>
      <c r="G192" s="1156"/>
      <c r="H192" s="1156"/>
      <c r="I192" s="468"/>
      <c r="J192" s="76"/>
      <c r="K192" s="843"/>
      <c r="L192" s="1157"/>
      <c r="M192" s="1158"/>
      <c r="N192" s="1158"/>
      <c r="O192" s="1158"/>
    </row>
    <row r="193" spans="1:15" x14ac:dyDescent="0.2">
      <c r="A193" s="75"/>
      <c r="B193" s="52">
        <f t="shared" si="4"/>
        <v>1</v>
      </c>
      <c r="C193" s="45"/>
      <c r="D193" s="1156"/>
      <c r="E193" s="1156"/>
      <c r="F193" s="1156"/>
      <c r="G193" s="1156"/>
      <c r="H193" s="1156"/>
      <c r="I193" s="468"/>
      <c r="J193" s="76"/>
      <c r="K193" s="843"/>
      <c r="L193" s="1157"/>
      <c r="M193" s="1158"/>
      <c r="N193" s="1158"/>
      <c r="O193" s="1158"/>
    </row>
    <row r="194" spans="1:15" x14ac:dyDescent="0.2">
      <c r="A194" s="75"/>
      <c r="B194" s="52">
        <f t="shared" si="4"/>
        <v>1</v>
      </c>
      <c r="C194" s="45"/>
      <c r="D194" s="1156"/>
      <c r="E194" s="1156"/>
      <c r="F194" s="1156"/>
      <c r="G194" s="1156"/>
      <c r="H194" s="1156"/>
      <c r="I194" s="468"/>
      <c r="J194" s="76"/>
      <c r="K194" s="843"/>
      <c r="L194" s="1157"/>
      <c r="M194" s="1158"/>
      <c r="N194" s="1158"/>
      <c r="O194" s="1158"/>
    </row>
    <row r="195" spans="1:15" x14ac:dyDescent="0.2">
      <c r="A195" s="75"/>
      <c r="B195" s="52">
        <f t="shared" si="4"/>
        <v>1</v>
      </c>
      <c r="C195" s="45"/>
      <c r="D195" s="1156"/>
      <c r="E195" s="1156"/>
      <c r="F195" s="1156"/>
      <c r="G195" s="1156"/>
      <c r="H195" s="1156"/>
      <c r="I195" s="468"/>
      <c r="J195" s="76"/>
      <c r="K195" s="843"/>
      <c r="L195" s="1157"/>
      <c r="M195" s="1158"/>
      <c r="N195" s="1158"/>
      <c r="O195" s="1158"/>
    </row>
    <row r="196" spans="1:15" x14ac:dyDescent="0.2">
      <c r="A196" s="75"/>
      <c r="B196" s="52">
        <f t="shared" si="4"/>
        <v>1</v>
      </c>
      <c r="C196" s="45"/>
      <c r="D196" s="1156"/>
      <c r="E196" s="1156"/>
      <c r="F196" s="1156"/>
      <c r="G196" s="1156"/>
      <c r="H196" s="1156"/>
      <c r="I196" s="468"/>
      <c r="J196" s="76"/>
      <c r="K196" s="843"/>
      <c r="L196" s="1157"/>
      <c r="M196" s="1158"/>
      <c r="N196" s="1158"/>
      <c r="O196" s="1158"/>
    </row>
    <row r="197" spans="1:15" x14ac:dyDescent="0.2">
      <c r="A197" s="75"/>
      <c r="B197" s="52">
        <f t="shared" si="4"/>
        <v>1</v>
      </c>
      <c r="C197" s="45"/>
      <c r="D197" s="1156"/>
      <c r="E197" s="1156"/>
      <c r="F197" s="1156"/>
      <c r="G197" s="1156"/>
      <c r="H197" s="1156"/>
      <c r="I197" s="468"/>
      <c r="J197" s="76"/>
      <c r="K197" s="843"/>
      <c r="L197" s="1157"/>
      <c r="M197" s="1158"/>
      <c r="N197" s="1158"/>
      <c r="O197" s="1158"/>
    </row>
    <row r="198" spans="1:15" x14ac:dyDescent="0.2">
      <c r="A198" s="75"/>
      <c r="B198" s="52">
        <f t="shared" si="4"/>
        <v>1</v>
      </c>
      <c r="C198" s="45"/>
      <c r="D198" s="1156"/>
      <c r="E198" s="1156"/>
      <c r="F198" s="1156"/>
      <c r="G198" s="1156"/>
      <c r="H198" s="1156"/>
      <c r="I198" s="468"/>
      <c r="J198" s="76"/>
      <c r="K198" s="843"/>
      <c r="L198" s="1157"/>
      <c r="M198" s="1158"/>
      <c r="N198" s="1158"/>
      <c r="O198" s="1158"/>
    </row>
    <row r="199" spans="1:15" x14ac:dyDescent="0.2">
      <c r="A199" s="75"/>
      <c r="B199" s="52">
        <f t="shared" si="4"/>
        <v>1</v>
      </c>
      <c r="C199" s="45"/>
      <c r="D199" s="1156"/>
      <c r="E199" s="1156"/>
      <c r="F199" s="1156"/>
      <c r="G199" s="1156"/>
      <c r="H199" s="1156"/>
      <c r="I199" s="468"/>
      <c r="J199" s="76"/>
      <c r="K199" s="843"/>
      <c r="L199" s="1157"/>
      <c r="M199" s="1158"/>
      <c r="N199" s="1158"/>
      <c r="O199" s="1158"/>
    </row>
    <row r="200" spans="1:15" x14ac:dyDescent="0.2">
      <c r="A200" s="75"/>
      <c r="B200" s="52">
        <f t="shared" si="4"/>
        <v>1</v>
      </c>
      <c r="C200" s="45"/>
      <c r="D200" s="1156"/>
      <c r="E200" s="1156"/>
      <c r="F200" s="1156"/>
      <c r="G200" s="1156"/>
      <c r="H200" s="1156"/>
      <c r="I200" s="468"/>
      <c r="J200" s="76"/>
      <c r="K200" s="843"/>
      <c r="L200" s="1157"/>
      <c r="M200" s="1158"/>
      <c r="N200" s="1158"/>
      <c r="O200" s="1158"/>
    </row>
    <row r="201" spans="1:15" x14ac:dyDescent="0.2">
      <c r="A201" s="75"/>
      <c r="B201" s="52">
        <f t="shared" si="4"/>
        <v>1</v>
      </c>
      <c r="C201" s="45"/>
      <c r="D201" s="1156"/>
      <c r="E201" s="1156"/>
      <c r="F201" s="1156"/>
      <c r="G201" s="1156"/>
      <c r="H201" s="1156"/>
      <c r="I201" s="468"/>
      <c r="J201" s="76"/>
      <c r="K201" s="843"/>
      <c r="L201" s="1157"/>
      <c r="M201" s="1158"/>
      <c r="N201" s="1158"/>
      <c r="O201" s="1158"/>
    </row>
    <row r="202" spans="1:15" x14ac:dyDescent="0.2">
      <c r="A202" s="75"/>
      <c r="B202" s="52">
        <f t="shared" si="4"/>
        <v>1</v>
      </c>
      <c r="C202" s="45"/>
      <c r="D202" s="1156"/>
      <c r="E202" s="1156"/>
      <c r="F202" s="1156"/>
      <c r="G202" s="1156"/>
      <c r="H202" s="1156"/>
      <c r="I202" s="468"/>
      <c r="J202" s="76"/>
      <c r="K202" s="843"/>
      <c r="L202" s="1157"/>
      <c r="M202" s="1158"/>
      <c r="N202" s="1158"/>
      <c r="O202" s="1158"/>
    </row>
    <row r="203" spans="1:15" x14ac:dyDescent="0.2">
      <c r="A203" s="75"/>
      <c r="B203" s="52">
        <f t="shared" si="4"/>
        <v>1</v>
      </c>
      <c r="C203" s="45"/>
      <c r="D203" s="1156"/>
      <c r="E203" s="1156"/>
      <c r="F203" s="1156"/>
      <c r="G203" s="1156"/>
      <c r="H203" s="1156"/>
      <c r="I203" s="468"/>
      <c r="J203" s="76"/>
      <c r="K203" s="843"/>
      <c r="L203" s="1157"/>
      <c r="M203" s="1158"/>
      <c r="N203" s="1158"/>
      <c r="O203" s="1158"/>
    </row>
    <row r="204" spans="1:15" x14ac:dyDescent="0.2">
      <c r="A204" s="75"/>
      <c r="B204" s="52">
        <f t="shared" si="4"/>
        <v>1</v>
      </c>
      <c r="C204" s="45"/>
      <c r="D204" s="1156"/>
      <c r="E204" s="1156"/>
      <c r="F204" s="1156"/>
      <c r="G204" s="1156"/>
      <c r="H204" s="1156"/>
      <c r="I204" s="468"/>
      <c r="J204" s="76"/>
      <c r="K204" s="843"/>
      <c r="L204" s="1157"/>
      <c r="M204" s="1158"/>
      <c r="N204" s="1158"/>
      <c r="O204" s="1158"/>
    </row>
    <row r="205" spans="1:15" x14ac:dyDescent="0.2">
      <c r="A205" s="75"/>
      <c r="B205" s="52">
        <f t="shared" si="4"/>
        <v>1</v>
      </c>
      <c r="C205" s="45"/>
      <c r="D205" s="1156"/>
      <c r="E205" s="1156"/>
      <c r="F205" s="1156"/>
      <c r="G205" s="1156"/>
      <c r="H205" s="1156"/>
      <c r="I205" s="468"/>
      <c r="J205" s="76"/>
      <c r="K205" s="843"/>
      <c r="L205" s="1157"/>
      <c r="M205" s="1158"/>
      <c r="N205" s="1158"/>
      <c r="O205" s="1158"/>
    </row>
    <row r="206" spans="1:15" x14ac:dyDescent="0.2">
      <c r="A206" s="75"/>
      <c r="B206" s="52">
        <f t="shared" ref="B206:B269" si="5">MONTH(A206)</f>
        <v>1</v>
      </c>
      <c r="C206" s="45"/>
      <c r="D206" s="1156"/>
      <c r="E206" s="1156"/>
      <c r="F206" s="1156"/>
      <c r="G206" s="1156"/>
      <c r="H206" s="1156"/>
      <c r="I206" s="468"/>
      <c r="J206" s="76"/>
      <c r="K206" s="843"/>
      <c r="L206" s="1157"/>
      <c r="M206" s="1158"/>
      <c r="N206" s="1158"/>
      <c r="O206" s="1158"/>
    </row>
    <row r="207" spans="1:15" x14ac:dyDescent="0.2">
      <c r="A207" s="75"/>
      <c r="B207" s="52">
        <f t="shared" si="5"/>
        <v>1</v>
      </c>
      <c r="C207" s="45"/>
      <c r="D207" s="1156"/>
      <c r="E207" s="1156"/>
      <c r="F207" s="1156"/>
      <c r="G207" s="1156"/>
      <c r="H207" s="1156"/>
      <c r="I207" s="468"/>
      <c r="J207" s="76"/>
      <c r="K207" s="843"/>
      <c r="L207" s="1157"/>
      <c r="M207" s="1158"/>
      <c r="N207" s="1158"/>
      <c r="O207" s="1158"/>
    </row>
    <row r="208" spans="1:15" x14ac:dyDescent="0.2">
      <c r="A208" s="75"/>
      <c r="B208" s="52">
        <f t="shared" si="5"/>
        <v>1</v>
      </c>
      <c r="C208" s="45"/>
      <c r="D208" s="1156"/>
      <c r="E208" s="1156"/>
      <c r="F208" s="1156"/>
      <c r="G208" s="1156"/>
      <c r="H208" s="1156"/>
      <c r="I208" s="468"/>
      <c r="J208" s="76"/>
      <c r="K208" s="843"/>
      <c r="L208" s="1157"/>
      <c r="M208" s="1158"/>
      <c r="N208" s="1158"/>
      <c r="O208" s="1158"/>
    </row>
    <row r="209" spans="1:15" x14ac:dyDescent="0.2">
      <c r="A209" s="75"/>
      <c r="B209" s="52">
        <f t="shared" si="5"/>
        <v>1</v>
      </c>
      <c r="C209" s="45"/>
      <c r="D209" s="1156"/>
      <c r="E209" s="1156"/>
      <c r="F209" s="1156"/>
      <c r="G209" s="1156"/>
      <c r="H209" s="1156"/>
      <c r="I209" s="468"/>
      <c r="J209" s="76"/>
      <c r="K209" s="843"/>
      <c r="L209" s="1157"/>
      <c r="M209" s="1158"/>
      <c r="N209" s="1158"/>
      <c r="O209" s="1158"/>
    </row>
    <row r="210" spans="1:15" x14ac:dyDescent="0.2">
      <c r="A210" s="75"/>
      <c r="B210" s="52">
        <f t="shared" si="5"/>
        <v>1</v>
      </c>
      <c r="C210" s="45"/>
      <c r="D210" s="1156"/>
      <c r="E210" s="1156"/>
      <c r="F210" s="1156"/>
      <c r="G210" s="1156"/>
      <c r="H210" s="1156"/>
      <c r="I210" s="468"/>
      <c r="J210" s="76"/>
      <c r="K210" s="843"/>
      <c r="L210" s="1157"/>
      <c r="M210" s="1158"/>
      <c r="N210" s="1158"/>
      <c r="O210" s="1158"/>
    </row>
    <row r="211" spans="1:15" x14ac:dyDescent="0.2">
      <c r="A211" s="75"/>
      <c r="B211" s="52">
        <f t="shared" si="5"/>
        <v>1</v>
      </c>
      <c r="C211" s="45"/>
      <c r="D211" s="1156"/>
      <c r="E211" s="1156"/>
      <c r="F211" s="1156"/>
      <c r="G211" s="1156"/>
      <c r="H211" s="1156"/>
      <c r="I211" s="468"/>
      <c r="J211" s="76"/>
      <c r="K211" s="843"/>
      <c r="L211" s="1157"/>
      <c r="M211" s="1158"/>
      <c r="N211" s="1158"/>
      <c r="O211" s="1158"/>
    </row>
    <row r="212" spans="1:15" x14ac:dyDescent="0.2">
      <c r="A212" s="75"/>
      <c r="B212" s="52">
        <f t="shared" si="5"/>
        <v>1</v>
      </c>
      <c r="C212" s="45"/>
      <c r="D212" s="1156"/>
      <c r="E212" s="1156"/>
      <c r="F212" s="1156"/>
      <c r="G212" s="1156"/>
      <c r="H212" s="1156"/>
      <c r="I212" s="468"/>
      <c r="J212" s="76"/>
      <c r="K212" s="843"/>
      <c r="L212" s="1157"/>
      <c r="M212" s="1158"/>
      <c r="N212" s="1158"/>
      <c r="O212" s="1158"/>
    </row>
    <row r="213" spans="1:15" x14ac:dyDescent="0.2">
      <c r="A213" s="75"/>
      <c r="B213" s="52">
        <f t="shared" si="5"/>
        <v>1</v>
      </c>
      <c r="C213" s="45"/>
      <c r="D213" s="1156"/>
      <c r="E213" s="1156"/>
      <c r="F213" s="1156"/>
      <c r="G213" s="1156"/>
      <c r="H213" s="1156"/>
      <c r="I213" s="468"/>
      <c r="J213" s="76"/>
      <c r="K213" s="843"/>
      <c r="L213" s="1157"/>
      <c r="M213" s="1158"/>
      <c r="N213" s="1158"/>
      <c r="O213" s="1158"/>
    </row>
    <row r="214" spans="1:15" x14ac:dyDescent="0.2">
      <c r="A214" s="75"/>
      <c r="B214" s="52">
        <f t="shared" si="5"/>
        <v>1</v>
      </c>
      <c r="C214" s="45"/>
      <c r="D214" s="1156"/>
      <c r="E214" s="1156"/>
      <c r="F214" s="1156"/>
      <c r="G214" s="1156"/>
      <c r="H214" s="1156"/>
      <c r="I214" s="468"/>
      <c r="J214" s="76"/>
      <c r="K214" s="843"/>
      <c r="L214" s="1157"/>
      <c r="M214" s="1158"/>
      <c r="N214" s="1158"/>
      <c r="O214" s="1158"/>
    </row>
    <row r="215" spans="1:15" x14ac:dyDescent="0.2">
      <c r="A215" s="75"/>
      <c r="B215" s="52">
        <f t="shared" si="5"/>
        <v>1</v>
      </c>
      <c r="C215" s="45"/>
      <c r="D215" s="1156"/>
      <c r="E215" s="1156"/>
      <c r="F215" s="1156"/>
      <c r="G215" s="1156"/>
      <c r="H215" s="1156"/>
      <c r="I215" s="468"/>
      <c r="J215" s="76"/>
      <c r="K215" s="843"/>
      <c r="L215" s="1157"/>
      <c r="M215" s="1158"/>
      <c r="N215" s="1158"/>
      <c r="O215" s="1158"/>
    </row>
    <row r="216" spans="1:15" x14ac:dyDescent="0.2">
      <c r="A216" s="75"/>
      <c r="B216" s="52">
        <f t="shared" si="5"/>
        <v>1</v>
      </c>
      <c r="C216" s="45"/>
      <c r="D216" s="1156"/>
      <c r="E216" s="1156"/>
      <c r="F216" s="1156"/>
      <c r="G216" s="1156"/>
      <c r="H216" s="1156"/>
      <c r="I216" s="468"/>
      <c r="J216" s="76"/>
      <c r="K216" s="843"/>
      <c r="L216" s="1157"/>
      <c r="M216" s="1158"/>
      <c r="N216" s="1158"/>
      <c r="O216" s="1158"/>
    </row>
    <row r="217" spans="1:15" x14ac:dyDescent="0.2">
      <c r="A217" s="75"/>
      <c r="B217" s="52">
        <f t="shared" si="5"/>
        <v>1</v>
      </c>
      <c r="C217" s="45"/>
      <c r="D217" s="1156"/>
      <c r="E217" s="1156"/>
      <c r="F217" s="1156"/>
      <c r="G217" s="1156"/>
      <c r="H217" s="1156"/>
      <c r="I217" s="468"/>
      <c r="J217" s="76"/>
      <c r="K217" s="843"/>
      <c r="L217" s="1157"/>
      <c r="M217" s="1158"/>
      <c r="N217" s="1158"/>
      <c r="O217" s="1158"/>
    </row>
    <row r="218" spans="1:15" x14ac:dyDescent="0.2">
      <c r="A218" s="75"/>
      <c r="B218" s="52">
        <f t="shared" si="5"/>
        <v>1</v>
      </c>
      <c r="C218" s="45"/>
      <c r="D218" s="1156"/>
      <c r="E218" s="1156"/>
      <c r="F218" s="1156"/>
      <c r="G218" s="1156"/>
      <c r="H218" s="1156"/>
      <c r="I218" s="468"/>
      <c r="J218" s="76"/>
      <c r="K218" s="843"/>
      <c r="L218" s="1157"/>
      <c r="M218" s="1158"/>
      <c r="N218" s="1158"/>
      <c r="O218" s="1158"/>
    </row>
    <row r="219" spans="1:15" x14ac:dyDescent="0.2">
      <c r="A219" s="75"/>
      <c r="B219" s="52">
        <f t="shared" si="5"/>
        <v>1</v>
      </c>
      <c r="C219" s="45"/>
      <c r="D219" s="1156"/>
      <c r="E219" s="1156"/>
      <c r="F219" s="1156"/>
      <c r="G219" s="1156"/>
      <c r="H219" s="1156"/>
      <c r="I219" s="468"/>
      <c r="J219" s="76"/>
      <c r="K219" s="843"/>
      <c r="L219" s="1157"/>
      <c r="M219" s="1158"/>
      <c r="N219" s="1158"/>
      <c r="O219" s="1158"/>
    </row>
    <row r="220" spans="1:15" x14ac:dyDescent="0.2">
      <c r="A220" s="75"/>
      <c r="B220" s="52">
        <f t="shared" si="5"/>
        <v>1</v>
      </c>
      <c r="C220" s="45"/>
      <c r="D220" s="1156"/>
      <c r="E220" s="1156"/>
      <c r="F220" s="1156"/>
      <c r="G220" s="1156"/>
      <c r="H220" s="1156"/>
      <c r="I220" s="468"/>
      <c r="J220" s="76"/>
      <c r="K220" s="843"/>
      <c r="L220" s="1157"/>
      <c r="M220" s="1158"/>
      <c r="N220" s="1158"/>
      <c r="O220" s="1158"/>
    </row>
    <row r="221" spans="1:15" x14ac:dyDescent="0.2">
      <c r="A221" s="75"/>
      <c r="B221" s="52">
        <f t="shared" si="5"/>
        <v>1</v>
      </c>
      <c r="C221" s="45"/>
      <c r="D221" s="1156"/>
      <c r="E221" s="1156"/>
      <c r="F221" s="1156"/>
      <c r="G221" s="1156"/>
      <c r="H221" s="1156"/>
      <c r="I221" s="468"/>
      <c r="J221" s="76"/>
      <c r="K221" s="843"/>
      <c r="L221" s="1157"/>
      <c r="M221" s="1158"/>
      <c r="N221" s="1158"/>
      <c r="O221" s="1158"/>
    </row>
    <row r="222" spans="1:15" x14ac:dyDescent="0.2">
      <c r="A222" s="75"/>
      <c r="B222" s="52">
        <f t="shared" si="5"/>
        <v>1</v>
      </c>
      <c r="C222" s="45"/>
      <c r="D222" s="1156"/>
      <c r="E222" s="1156"/>
      <c r="F222" s="1156"/>
      <c r="G222" s="1156"/>
      <c r="H222" s="1156"/>
      <c r="I222" s="468"/>
      <c r="J222" s="76"/>
      <c r="K222" s="843"/>
      <c r="L222" s="1157"/>
      <c r="M222" s="1158"/>
      <c r="N222" s="1158"/>
      <c r="O222" s="1158"/>
    </row>
    <row r="223" spans="1:15" x14ac:dyDescent="0.2">
      <c r="A223" s="75"/>
      <c r="B223" s="52">
        <f t="shared" si="5"/>
        <v>1</v>
      </c>
      <c r="C223" s="45"/>
      <c r="D223" s="1156"/>
      <c r="E223" s="1156"/>
      <c r="F223" s="1156"/>
      <c r="G223" s="1156"/>
      <c r="H223" s="1156"/>
      <c r="I223" s="468"/>
      <c r="J223" s="76"/>
      <c r="K223" s="843"/>
      <c r="L223" s="1157"/>
      <c r="M223" s="1158"/>
      <c r="N223" s="1158"/>
      <c r="O223" s="1158"/>
    </row>
    <row r="224" spans="1:15" x14ac:dyDescent="0.2">
      <c r="A224" s="75"/>
      <c r="B224" s="52">
        <f t="shared" si="5"/>
        <v>1</v>
      </c>
      <c r="C224" s="45"/>
      <c r="D224" s="1156"/>
      <c r="E224" s="1156"/>
      <c r="F224" s="1156"/>
      <c r="G224" s="1156"/>
      <c r="H224" s="1156"/>
      <c r="I224" s="468"/>
      <c r="J224" s="76"/>
      <c r="K224" s="843"/>
      <c r="L224" s="1157"/>
      <c r="M224" s="1158"/>
      <c r="N224" s="1158"/>
      <c r="O224" s="1158"/>
    </row>
    <row r="225" spans="1:15" x14ac:dyDescent="0.2">
      <c r="A225" s="75"/>
      <c r="B225" s="52">
        <f t="shared" si="5"/>
        <v>1</v>
      </c>
      <c r="C225" s="45"/>
      <c r="D225" s="1156"/>
      <c r="E225" s="1156"/>
      <c r="F225" s="1156"/>
      <c r="G225" s="1156"/>
      <c r="H225" s="1156"/>
      <c r="I225" s="468"/>
      <c r="J225" s="76"/>
      <c r="K225" s="843"/>
      <c r="L225" s="1157"/>
      <c r="M225" s="1158"/>
      <c r="N225" s="1158"/>
      <c r="O225" s="1158"/>
    </row>
    <row r="226" spans="1:15" x14ac:dyDescent="0.2">
      <c r="A226" s="75"/>
      <c r="B226" s="52">
        <f t="shared" si="5"/>
        <v>1</v>
      </c>
      <c r="C226" s="45"/>
      <c r="D226" s="1156"/>
      <c r="E226" s="1156"/>
      <c r="F226" s="1156"/>
      <c r="G226" s="1156"/>
      <c r="H226" s="1156"/>
      <c r="I226" s="468"/>
      <c r="J226" s="76"/>
      <c r="K226" s="843"/>
      <c r="L226" s="1157"/>
      <c r="M226" s="1158"/>
      <c r="N226" s="1158"/>
      <c r="O226" s="1158"/>
    </row>
    <row r="227" spans="1:15" x14ac:dyDescent="0.2">
      <c r="A227" s="75"/>
      <c r="B227" s="52">
        <f t="shared" si="5"/>
        <v>1</v>
      </c>
      <c r="C227" s="45"/>
      <c r="D227" s="1156"/>
      <c r="E227" s="1156"/>
      <c r="F227" s="1156"/>
      <c r="G227" s="1156"/>
      <c r="H227" s="1156"/>
      <c r="I227" s="468"/>
      <c r="J227" s="76"/>
      <c r="K227" s="843"/>
      <c r="L227" s="1157"/>
      <c r="M227" s="1158"/>
      <c r="N227" s="1158"/>
      <c r="O227" s="1158"/>
    </row>
    <row r="228" spans="1:15" x14ac:dyDescent="0.2">
      <c r="A228" s="75"/>
      <c r="B228" s="52">
        <f t="shared" si="5"/>
        <v>1</v>
      </c>
      <c r="C228" s="45"/>
      <c r="D228" s="1156"/>
      <c r="E228" s="1156"/>
      <c r="F228" s="1156"/>
      <c r="G228" s="1156"/>
      <c r="H228" s="1156"/>
      <c r="I228" s="468"/>
      <c r="J228" s="76"/>
      <c r="K228" s="843"/>
      <c r="L228" s="1157"/>
      <c r="M228" s="1158"/>
      <c r="N228" s="1158"/>
      <c r="O228" s="1158"/>
    </row>
    <row r="229" spans="1:15" x14ac:dyDescent="0.2">
      <c r="A229" s="75"/>
      <c r="B229" s="52">
        <f t="shared" si="5"/>
        <v>1</v>
      </c>
      <c r="C229" s="45"/>
      <c r="D229" s="1156"/>
      <c r="E229" s="1156"/>
      <c r="F229" s="1156"/>
      <c r="G229" s="1156"/>
      <c r="H229" s="1156"/>
      <c r="I229" s="468"/>
      <c r="J229" s="76"/>
      <c r="K229" s="843"/>
      <c r="L229" s="1157"/>
      <c r="M229" s="1158"/>
      <c r="N229" s="1158"/>
      <c r="O229" s="1158"/>
    </row>
    <row r="230" spans="1:15" x14ac:dyDescent="0.2">
      <c r="A230" s="75"/>
      <c r="B230" s="52">
        <f t="shared" si="5"/>
        <v>1</v>
      </c>
      <c r="C230" s="45"/>
      <c r="D230" s="1156"/>
      <c r="E230" s="1156"/>
      <c r="F230" s="1156"/>
      <c r="G230" s="1156"/>
      <c r="H230" s="1156"/>
      <c r="I230" s="468"/>
      <c r="J230" s="76"/>
      <c r="K230" s="843"/>
      <c r="L230" s="1157"/>
      <c r="M230" s="1158"/>
      <c r="N230" s="1158"/>
      <c r="O230" s="1158"/>
    </row>
    <row r="231" spans="1:15" x14ac:dyDescent="0.2">
      <c r="A231" s="75"/>
      <c r="B231" s="52">
        <f t="shared" si="5"/>
        <v>1</v>
      </c>
      <c r="C231" s="45"/>
      <c r="D231" s="1156"/>
      <c r="E231" s="1156"/>
      <c r="F231" s="1156"/>
      <c r="G231" s="1156"/>
      <c r="H231" s="1156"/>
      <c r="I231" s="468"/>
      <c r="J231" s="76"/>
      <c r="K231" s="843"/>
      <c r="L231" s="1157"/>
      <c r="M231" s="1158"/>
      <c r="N231" s="1158"/>
      <c r="O231" s="1158"/>
    </row>
    <row r="232" spans="1:15" x14ac:dyDescent="0.2">
      <c r="A232" s="75"/>
      <c r="B232" s="52">
        <f t="shared" si="5"/>
        <v>1</v>
      </c>
      <c r="C232" s="45"/>
      <c r="D232" s="1156"/>
      <c r="E232" s="1156"/>
      <c r="F232" s="1156"/>
      <c r="G232" s="1156"/>
      <c r="H232" s="1156"/>
      <c r="I232" s="468"/>
      <c r="J232" s="76"/>
      <c r="K232" s="843"/>
      <c r="L232" s="1157"/>
      <c r="M232" s="1158"/>
      <c r="N232" s="1158"/>
      <c r="O232" s="1158"/>
    </row>
    <row r="233" spans="1:15" x14ac:dyDescent="0.2">
      <c r="A233" s="75"/>
      <c r="B233" s="52">
        <f t="shared" si="5"/>
        <v>1</v>
      </c>
      <c r="C233" s="45"/>
      <c r="D233" s="1156"/>
      <c r="E233" s="1156"/>
      <c r="F233" s="1156"/>
      <c r="G233" s="1156"/>
      <c r="H233" s="1156"/>
      <c r="I233" s="468"/>
      <c r="J233" s="76"/>
      <c r="K233" s="843"/>
      <c r="L233" s="1157"/>
      <c r="M233" s="1158"/>
      <c r="N233" s="1158"/>
      <c r="O233" s="1158"/>
    </row>
    <row r="234" spans="1:15" x14ac:dyDescent="0.2">
      <c r="A234" s="75"/>
      <c r="B234" s="52">
        <f t="shared" si="5"/>
        <v>1</v>
      </c>
      <c r="C234" s="45"/>
      <c r="D234" s="1156"/>
      <c r="E234" s="1156"/>
      <c r="F234" s="1156"/>
      <c r="G234" s="1156"/>
      <c r="H234" s="1156"/>
      <c r="I234" s="468"/>
      <c r="J234" s="76"/>
      <c r="K234" s="843"/>
      <c r="L234" s="1157"/>
      <c r="M234" s="1158"/>
      <c r="N234" s="1158"/>
      <c r="O234" s="1158"/>
    </row>
    <row r="235" spans="1:15" x14ac:dyDescent="0.2">
      <c r="A235" s="75"/>
      <c r="B235" s="52">
        <f t="shared" si="5"/>
        <v>1</v>
      </c>
      <c r="C235" s="45"/>
      <c r="D235" s="1156"/>
      <c r="E235" s="1156"/>
      <c r="F235" s="1156"/>
      <c r="G235" s="1156"/>
      <c r="H235" s="1156"/>
      <c r="I235" s="468"/>
      <c r="J235" s="76"/>
      <c r="K235" s="843"/>
      <c r="L235" s="1157"/>
      <c r="M235" s="1158"/>
      <c r="N235" s="1158"/>
      <c r="O235" s="1158"/>
    </row>
    <row r="236" spans="1:15" x14ac:dyDescent="0.2">
      <c r="A236" s="75"/>
      <c r="B236" s="52">
        <f t="shared" si="5"/>
        <v>1</v>
      </c>
      <c r="C236" s="45"/>
      <c r="D236" s="1156"/>
      <c r="E236" s="1156"/>
      <c r="F236" s="1156"/>
      <c r="G236" s="1156"/>
      <c r="H236" s="1156"/>
      <c r="I236" s="468"/>
      <c r="J236" s="76"/>
      <c r="K236" s="843"/>
      <c r="L236" s="1157"/>
      <c r="M236" s="1158"/>
      <c r="N236" s="1158"/>
      <c r="O236" s="1158"/>
    </row>
    <row r="237" spans="1:15" x14ac:dyDescent="0.2">
      <c r="A237" s="75"/>
      <c r="B237" s="52">
        <f t="shared" si="5"/>
        <v>1</v>
      </c>
      <c r="C237" s="45"/>
      <c r="D237" s="1156"/>
      <c r="E237" s="1156"/>
      <c r="F237" s="1156"/>
      <c r="G237" s="1156"/>
      <c r="H237" s="1156"/>
      <c r="I237" s="468"/>
      <c r="J237" s="76"/>
      <c r="K237" s="843"/>
      <c r="L237" s="1157"/>
      <c r="M237" s="1158"/>
      <c r="N237" s="1158"/>
      <c r="O237" s="1158"/>
    </row>
    <row r="238" spans="1:15" x14ac:dyDescent="0.2">
      <c r="A238" s="75"/>
      <c r="B238" s="52">
        <f t="shared" si="5"/>
        <v>1</v>
      </c>
      <c r="C238" s="45"/>
      <c r="D238" s="1156"/>
      <c r="E238" s="1156"/>
      <c r="F238" s="1156"/>
      <c r="G238" s="1156"/>
      <c r="H238" s="1156"/>
      <c r="I238" s="468"/>
      <c r="J238" s="76"/>
      <c r="K238" s="843"/>
      <c r="L238" s="1157"/>
      <c r="M238" s="1158"/>
      <c r="N238" s="1158"/>
      <c r="O238" s="1158"/>
    </row>
    <row r="239" spans="1:15" x14ac:dyDescent="0.2">
      <c r="A239" s="75"/>
      <c r="B239" s="52">
        <f t="shared" si="5"/>
        <v>1</v>
      </c>
      <c r="C239" s="45"/>
      <c r="D239" s="1156"/>
      <c r="E239" s="1156"/>
      <c r="F239" s="1156"/>
      <c r="G239" s="1156"/>
      <c r="H239" s="1156"/>
      <c r="I239" s="468"/>
      <c r="J239" s="76"/>
      <c r="K239" s="843"/>
      <c r="L239" s="1157"/>
      <c r="M239" s="1158"/>
      <c r="N239" s="1158"/>
      <c r="O239" s="1158"/>
    </row>
    <row r="240" spans="1:15" x14ac:dyDescent="0.2">
      <c r="A240" s="75"/>
      <c r="B240" s="52">
        <f t="shared" si="5"/>
        <v>1</v>
      </c>
      <c r="C240" s="45"/>
      <c r="D240" s="1156"/>
      <c r="E240" s="1156"/>
      <c r="F240" s="1156"/>
      <c r="G240" s="1156"/>
      <c r="H240" s="1156"/>
      <c r="I240" s="468"/>
      <c r="J240" s="76"/>
      <c r="K240" s="843"/>
      <c r="L240" s="1157"/>
      <c r="M240" s="1158"/>
      <c r="N240" s="1158"/>
      <c r="O240" s="1158"/>
    </row>
    <row r="241" spans="1:15" x14ac:dyDescent="0.2">
      <c r="A241" s="75"/>
      <c r="B241" s="52">
        <f t="shared" si="5"/>
        <v>1</v>
      </c>
      <c r="C241" s="45"/>
      <c r="D241" s="1156"/>
      <c r="E241" s="1156"/>
      <c r="F241" s="1156"/>
      <c r="G241" s="1156"/>
      <c r="H241" s="1156"/>
      <c r="I241" s="468"/>
      <c r="J241" s="76"/>
      <c r="K241" s="843"/>
      <c r="L241" s="1157"/>
      <c r="M241" s="1158"/>
      <c r="N241" s="1158"/>
      <c r="O241" s="1158"/>
    </row>
    <row r="242" spans="1:15" x14ac:dyDescent="0.2">
      <c r="A242" s="75"/>
      <c r="B242" s="52">
        <f t="shared" si="5"/>
        <v>1</v>
      </c>
      <c r="C242" s="45"/>
      <c r="D242" s="1156"/>
      <c r="E242" s="1156"/>
      <c r="F242" s="1156"/>
      <c r="G242" s="1156"/>
      <c r="H242" s="1156"/>
      <c r="I242" s="468"/>
      <c r="J242" s="76"/>
      <c r="K242" s="843"/>
      <c r="L242" s="1157"/>
      <c r="M242" s="1158"/>
      <c r="N242" s="1158"/>
      <c r="O242" s="1158"/>
    </row>
    <row r="243" spans="1:15" x14ac:dyDescent="0.2">
      <c r="A243" s="75"/>
      <c r="B243" s="52">
        <f t="shared" si="5"/>
        <v>1</v>
      </c>
      <c r="C243" s="45"/>
      <c r="D243" s="1156"/>
      <c r="E243" s="1156"/>
      <c r="F243" s="1156"/>
      <c r="G243" s="1156"/>
      <c r="H243" s="1156"/>
      <c r="I243" s="468"/>
      <c r="J243" s="76"/>
      <c r="K243" s="843"/>
      <c r="L243" s="1157"/>
      <c r="M243" s="1158"/>
      <c r="N243" s="1158"/>
      <c r="O243" s="1158"/>
    </row>
    <row r="244" spans="1:15" x14ac:dyDescent="0.2">
      <c r="A244" s="75"/>
      <c r="B244" s="52">
        <f t="shared" si="5"/>
        <v>1</v>
      </c>
      <c r="C244" s="45"/>
      <c r="D244" s="1156"/>
      <c r="E244" s="1156"/>
      <c r="F244" s="1156"/>
      <c r="G244" s="1156"/>
      <c r="H244" s="1156"/>
      <c r="I244" s="468"/>
      <c r="J244" s="76"/>
      <c r="K244" s="843"/>
      <c r="L244" s="1157"/>
      <c r="M244" s="1158"/>
      <c r="N244" s="1158"/>
      <c r="O244" s="1158"/>
    </row>
    <row r="245" spans="1:15" x14ac:dyDescent="0.2">
      <c r="A245" s="75"/>
      <c r="B245" s="52">
        <f t="shared" si="5"/>
        <v>1</v>
      </c>
      <c r="C245" s="45"/>
      <c r="D245" s="1156"/>
      <c r="E245" s="1156"/>
      <c r="F245" s="1156"/>
      <c r="G245" s="1156"/>
      <c r="H245" s="1156"/>
      <c r="I245" s="468"/>
      <c r="J245" s="76"/>
      <c r="K245" s="843"/>
      <c r="L245" s="1157"/>
      <c r="M245" s="1158"/>
      <c r="N245" s="1158"/>
      <c r="O245" s="1158"/>
    </row>
    <row r="246" spans="1:15" x14ac:dyDescent="0.2">
      <c r="A246" s="75"/>
      <c r="B246" s="52">
        <f t="shared" si="5"/>
        <v>1</v>
      </c>
      <c r="C246" s="45"/>
      <c r="D246" s="1156"/>
      <c r="E246" s="1156"/>
      <c r="F246" s="1156"/>
      <c r="G246" s="1156"/>
      <c r="H246" s="1156"/>
      <c r="I246" s="468"/>
      <c r="J246" s="76"/>
      <c r="K246" s="843"/>
      <c r="L246" s="1157"/>
      <c r="M246" s="1158"/>
      <c r="N246" s="1158"/>
      <c r="O246" s="1158"/>
    </row>
    <row r="247" spans="1:15" x14ac:dyDescent="0.2">
      <c r="A247" s="75"/>
      <c r="B247" s="52">
        <f t="shared" si="5"/>
        <v>1</v>
      </c>
      <c r="C247" s="45"/>
      <c r="D247" s="1156"/>
      <c r="E247" s="1156"/>
      <c r="F247" s="1156"/>
      <c r="G247" s="1156"/>
      <c r="H247" s="1156"/>
      <c r="I247" s="468"/>
      <c r="J247" s="76"/>
      <c r="K247" s="843"/>
      <c r="L247" s="1157"/>
      <c r="M247" s="1158"/>
      <c r="N247" s="1158"/>
      <c r="O247" s="1158"/>
    </row>
    <row r="248" spans="1:15" x14ac:dyDescent="0.2">
      <c r="A248" s="75"/>
      <c r="B248" s="52">
        <f t="shared" si="5"/>
        <v>1</v>
      </c>
      <c r="C248" s="45"/>
      <c r="D248" s="1156"/>
      <c r="E248" s="1156"/>
      <c r="F248" s="1156"/>
      <c r="G248" s="1156"/>
      <c r="H248" s="1156"/>
      <c r="I248" s="468"/>
      <c r="J248" s="76"/>
      <c r="K248" s="843"/>
      <c r="L248" s="1157"/>
      <c r="M248" s="1158"/>
      <c r="N248" s="1158"/>
      <c r="O248" s="1158"/>
    </row>
    <row r="249" spans="1:15" x14ac:dyDescent="0.2">
      <c r="A249" s="75"/>
      <c r="B249" s="52">
        <f t="shared" si="5"/>
        <v>1</v>
      </c>
      <c r="C249" s="45"/>
      <c r="D249" s="1156"/>
      <c r="E249" s="1156"/>
      <c r="F249" s="1156"/>
      <c r="G249" s="1156"/>
      <c r="H249" s="1156"/>
      <c r="I249" s="468"/>
      <c r="J249" s="76"/>
      <c r="K249" s="843"/>
      <c r="L249" s="1157"/>
      <c r="M249" s="1158"/>
      <c r="N249" s="1158"/>
      <c r="O249" s="1158"/>
    </row>
    <row r="250" spans="1:15" x14ac:dyDescent="0.2">
      <c r="A250" s="75"/>
      <c r="B250" s="52">
        <f t="shared" si="5"/>
        <v>1</v>
      </c>
      <c r="C250" s="45"/>
      <c r="D250" s="1156"/>
      <c r="E250" s="1156"/>
      <c r="F250" s="1156"/>
      <c r="G250" s="1156"/>
      <c r="H250" s="1156"/>
      <c r="I250" s="468"/>
      <c r="J250" s="76"/>
      <c r="K250" s="843"/>
      <c r="L250" s="1157"/>
      <c r="M250" s="1158"/>
      <c r="N250" s="1158"/>
      <c r="O250" s="1158"/>
    </row>
    <row r="251" spans="1:15" x14ac:dyDescent="0.2">
      <c r="A251" s="75"/>
      <c r="B251" s="52">
        <f t="shared" si="5"/>
        <v>1</v>
      </c>
      <c r="C251" s="45"/>
      <c r="D251" s="1156"/>
      <c r="E251" s="1156"/>
      <c r="F251" s="1156"/>
      <c r="G251" s="1156"/>
      <c r="H251" s="1156"/>
      <c r="I251" s="468"/>
      <c r="J251" s="76"/>
      <c r="K251" s="843"/>
      <c r="L251" s="1157"/>
      <c r="M251" s="1158"/>
      <c r="N251" s="1158"/>
      <c r="O251" s="1158"/>
    </row>
    <row r="252" spans="1:15" x14ac:dyDescent="0.2">
      <c r="A252" s="75"/>
      <c r="B252" s="52">
        <f t="shared" si="5"/>
        <v>1</v>
      </c>
      <c r="C252" s="45"/>
      <c r="D252" s="1156"/>
      <c r="E252" s="1156"/>
      <c r="F252" s="1156"/>
      <c r="G252" s="1156"/>
      <c r="H252" s="1156"/>
      <c r="I252" s="468"/>
      <c r="J252" s="76"/>
      <c r="K252" s="843"/>
      <c r="L252" s="1157"/>
      <c r="M252" s="1158"/>
      <c r="N252" s="1158"/>
      <c r="O252" s="1158"/>
    </row>
    <row r="253" spans="1:15" x14ac:dyDescent="0.2">
      <c r="A253" s="75"/>
      <c r="B253" s="52">
        <f t="shared" si="5"/>
        <v>1</v>
      </c>
      <c r="C253" s="45"/>
      <c r="D253" s="1156"/>
      <c r="E253" s="1156"/>
      <c r="F253" s="1156"/>
      <c r="G253" s="1156"/>
      <c r="H253" s="1156"/>
      <c r="I253" s="468"/>
      <c r="J253" s="76"/>
      <c r="K253" s="843"/>
      <c r="L253" s="1157"/>
      <c r="M253" s="1158"/>
      <c r="N253" s="1158"/>
      <c r="O253" s="1158"/>
    </row>
    <row r="254" spans="1:15" x14ac:dyDescent="0.2">
      <c r="A254" s="75"/>
      <c r="B254" s="52">
        <f t="shared" si="5"/>
        <v>1</v>
      </c>
      <c r="C254" s="45"/>
      <c r="D254" s="1156"/>
      <c r="E254" s="1156"/>
      <c r="F254" s="1156"/>
      <c r="G254" s="1156"/>
      <c r="H254" s="1156"/>
      <c r="I254" s="468"/>
      <c r="J254" s="76"/>
      <c r="K254" s="843"/>
      <c r="L254" s="1157"/>
      <c r="M254" s="1158"/>
      <c r="N254" s="1158"/>
      <c r="O254" s="1158"/>
    </row>
    <row r="255" spans="1:15" x14ac:dyDescent="0.2">
      <c r="A255" s="75"/>
      <c r="B255" s="52">
        <f t="shared" si="5"/>
        <v>1</v>
      </c>
      <c r="C255" s="45"/>
      <c r="D255" s="1156"/>
      <c r="E255" s="1156"/>
      <c r="F255" s="1156"/>
      <c r="G255" s="1156"/>
      <c r="H255" s="1156"/>
      <c r="I255" s="468"/>
      <c r="J255" s="76"/>
      <c r="K255" s="843"/>
      <c r="L255" s="1157"/>
      <c r="M255" s="1158"/>
      <c r="N255" s="1158"/>
      <c r="O255" s="1158"/>
    </row>
    <row r="256" spans="1:15" x14ac:dyDescent="0.2">
      <c r="A256" s="75"/>
      <c r="B256" s="52">
        <f t="shared" si="5"/>
        <v>1</v>
      </c>
      <c r="C256" s="45"/>
      <c r="D256" s="1156"/>
      <c r="E256" s="1156"/>
      <c r="F256" s="1156"/>
      <c r="G256" s="1156"/>
      <c r="H256" s="1156"/>
      <c r="I256" s="468"/>
      <c r="J256" s="76"/>
      <c r="K256" s="843"/>
      <c r="L256" s="1157"/>
      <c r="M256" s="1158"/>
      <c r="N256" s="1158"/>
      <c r="O256" s="1158"/>
    </row>
    <row r="257" spans="1:15" x14ac:dyDescent="0.2">
      <c r="A257" s="75"/>
      <c r="B257" s="52">
        <f t="shared" si="5"/>
        <v>1</v>
      </c>
      <c r="C257" s="45"/>
      <c r="D257" s="1156"/>
      <c r="E257" s="1156"/>
      <c r="F257" s="1156"/>
      <c r="G257" s="1156"/>
      <c r="H257" s="1156"/>
      <c r="I257" s="468"/>
      <c r="J257" s="76"/>
      <c r="K257" s="843"/>
      <c r="L257" s="1157"/>
      <c r="M257" s="1158"/>
      <c r="N257" s="1158"/>
      <c r="O257" s="1158"/>
    </row>
    <row r="258" spans="1:15" x14ac:dyDescent="0.2">
      <c r="A258" s="75"/>
      <c r="B258" s="52">
        <f t="shared" si="5"/>
        <v>1</v>
      </c>
      <c r="C258" s="45"/>
      <c r="D258" s="1156"/>
      <c r="E258" s="1156"/>
      <c r="F258" s="1156"/>
      <c r="G258" s="1156"/>
      <c r="H258" s="1156"/>
      <c r="I258" s="468"/>
      <c r="J258" s="76"/>
      <c r="K258" s="843"/>
      <c r="L258" s="1157"/>
      <c r="M258" s="1158"/>
      <c r="N258" s="1158"/>
      <c r="O258" s="1158"/>
    </row>
    <row r="259" spans="1:15" x14ac:dyDescent="0.2">
      <c r="A259" s="75"/>
      <c r="B259" s="52">
        <f t="shared" si="5"/>
        <v>1</v>
      </c>
      <c r="C259" s="45"/>
      <c r="D259" s="1156"/>
      <c r="E259" s="1156"/>
      <c r="F259" s="1156"/>
      <c r="G259" s="1156"/>
      <c r="H259" s="1156"/>
      <c r="I259" s="468"/>
      <c r="J259" s="76"/>
      <c r="K259" s="843"/>
      <c r="L259" s="1157"/>
      <c r="M259" s="1158"/>
      <c r="N259" s="1158"/>
      <c r="O259" s="1158"/>
    </row>
    <row r="260" spans="1:15" x14ac:dyDescent="0.2">
      <c r="A260" s="75"/>
      <c r="B260" s="52">
        <f t="shared" si="5"/>
        <v>1</v>
      </c>
      <c r="C260" s="45"/>
      <c r="D260" s="1156"/>
      <c r="E260" s="1156"/>
      <c r="F260" s="1156"/>
      <c r="G260" s="1156"/>
      <c r="H260" s="1156"/>
      <c r="I260" s="468"/>
      <c r="J260" s="76"/>
      <c r="K260" s="843"/>
      <c r="L260" s="1157"/>
      <c r="M260" s="1158"/>
      <c r="N260" s="1158"/>
      <c r="O260" s="1158"/>
    </row>
    <row r="261" spans="1:15" x14ac:dyDescent="0.2">
      <c r="A261" s="75"/>
      <c r="B261" s="52">
        <f t="shared" si="5"/>
        <v>1</v>
      </c>
      <c r="C261" s="45"/>
      <c r="D261" s="1156"/>
      <c r="E261" s="1156"/>
      <c r="F261" s="1156"/>
      <c r="G261" s="1156"/>
      <c r="H261" s="1156"/>
      <c r="I261" s="468"/>
      <c r="J261" s="76"/>
      <c r="K261" s="843"/>
      <c r="L261" s="1157"/>
      <c r="M261" s="1158"/>
      <c r="N261" s="1158"/>
      <c r="O261" s="1158"/>
    </row>
    <row r="262" spans="1:15" x14ac:dyDescent="0.2">
      <c r="A262" s="75"/>
      <c r="B262" s="52">
        <f t="shared" si="5"/>
        <v>1</v>
      </c>
      <c r="C262" s="45"/>
      <c r="D262" s="1156"/>
      <c r="E262" s="1156"/>
      <c r="F262" s="1156"/>
      <c r="G262" s="1156"/>
      <c r="H262" s="1156"/>
      <c r="I262" s="468"/>
      <c r="J262" s="76"/>
      <c r="K262" s="843"/>
      <c r="L262" s="1157"/>
      <c r="M262" s="1158"/>
      <c r="N262" s="1158"/>
      <c r="O262" s="1158"/>
    </row>
    <row r="263" spans="1:15" x14ac:dyDescent="0.2">
      <c r="A263" s="75"/>
      <c r="B263" s="52">
        <f t="shared" si="5"/>
        <v>1</v>
      </c>
      <c r="C263" s="45"/>
      <c r="D263" s="1156"/>
      <c r="E263" s="1156"/>
      <c r="F263" s="1156"/>
      <c r="G263" s="1156"/>
      <c r="H263" s="1156"/>
      <c r="I263" s="468"/>
      <c r="J263" s="76"/>
      <c r="K263" s="843"/>
      <c r="L263" s="1157"/>
      <c r="M263" s="1158"/>
      <c r="N263" s="1158"/>
      <c r="O263" s="1158"/>
    </row>
    <row r="264" spans="1:15" x14ac:dyDescent="0.2">
      <c r="A264" s="75"/>
      <c r="B264" s="52">
        <f t="shared" si="5"/>
        <v>1</v>
      </c>
      <c r="C264" s="45"/>
      <c r="D264" s="1156"/>
      <c r="E264" s="1156"/>
      <c r="F264" s="1156"/>
      <c r="G264" s="1156"/>
      <c r="H264" s="1156"/>
      <c r="I264" s="468"/>
      <c r="J264" s="76"/>
      <c r="K264" s="843"/>
      <c r="L264" s="1157"/>
      <c r="M264" s="1158"/>
      <c r="N264" s="1158"/>
      <c r="O264" s="1158"/>
    </row>
    <row r="265" spans="1:15" x14ac:dyDescent="0.2">
      <c r="A265" s="75"/>
      <c r="B265" s="52">
        <f t="shared" si="5"/>
        <v>1</v>
      </c>
      <c r="C265" s="45"/>
      <c r="D265" s="1156"/>
      <c r="E265" s="1156"/>
      <c r="F265" s="1156"/>
      <c r="G265" s="1156"/>
      <c r="H265" s="1156"/>
      <c r="I265" s="468"/>
      <c r="J265" s="76"/>
      <c r="K265" s="843"/>
      <c r="L265" s="1157"/>
      <c r="M265" s="1158"/>
      <c r="N265" s="1158"/>
      <c r="O265" s="1158"/>
    </row>
    <row r="266" spans="1:15" x14ac:dyDescent="0.2">
      <c r="A266" s="75"/>
      <c r="B266" s="52">
        <f t="shared" si="5"/>
        <v>1</v>
      </c>
      <c r="C266" s="45"/>
      <c r="D266" s="1156"/>
      <c r="E266" s="1156"/>
      <c r="F266" s="1156"/>
      <c r="G266" s="1156"/>
      <c r="H266" s="1156"/>
      <c r="I266" s="468"/>
      <c r="J266" s="76"/>
      <c r="K266" s="843"/>
      <c r="L266" s="1157"/>
      <c r="M266" s="1158"/>
      <c r="N266" s="1158"/>
      <c r="O266" s="1158"/>
    </row>
    <row r="267" spans="1:15" x14ac:dyDescent="0.2">
      <c r="A267" s="75"/>
      <c r="B267" s="52">
        <f t="shared" si="5"/>
        <v>1</v>
      </c>
      <c r="C267" s="45"/>
      <c r="D267" s="1156"/>
      <c r="E267" s="1156"/>
      <c r="F267" s="1156"/>
      <c r="G267" s="1156"/>
      <c r="H267" s="1156"/>
      <c r="I267" s="468"/>
      <c r="J267" s="76"/>
      <c r="K267" s="843"/>
      <c r="L267" s="1157"/>
      <c r="M267" s="1158"/>
      <c r="N267" s="1158"/>
      <c r="O267" s="1158"/>
    </row>
    <row r="268" spans="1:15" x14ac:dyDescent="0.2">
      <c r="A268" s="75"/>
      <c r="B268" s="52">
        <f t="shared" si="5"/>
        <v>1</v>
      </c>
      <c r="C268" s="45"/>
      <c r="D268" s="1156"/>
      <c r="E268" s="1156"/>
      <c r="F268" s="1156"/>
      <c r="G268" s="1156"/>
      <c r="H268" s="1156"/>
      <c r="I268" s="468"/>
      <c r="J268" s="76"/>
      <c r="K268" s="843"/>
      <c r="L268" s="1157"/>
      <c r="M268" s="1158"/>
      <c r="N268" s="1158"/>
      <c r="O268" s="1158"/>
    </row>
    <row r="269" spans="1:15" x14ac:dyDescent="0.2">
      <c r="A269" s="75"/>
      <c r="B269" s="52">
        <f t="shared" si="5"/>
        <v>1</v>
      </c>
      <c r="C269" s="45"/>
      <c r="D269" s="1156"/>
      <c r="E269" s="1156"/>
      <c r="F269" s="1156"/>
      <c r="G269" s="1156"/>
      <c r="H269" s="1156"/>
      <c r="I269" s="468"/>
      <c r="J269" s="76"/>
      <c r="K269" s="843"/>
      <c r="L269" s="1157"/>
      <c r="M269" s="1158"/>
      <c r="N269" s="1158"/>
      <c r="O269" s="1158"/>
    </row>
    <row r="270" spans="1:15" x14ac:dyDescent="0.2">
      <c r="A270" s="75"/>
      <c r="B270" s="52">
        <f t="shared" ref="B270:B333" si="6">MONTH(A270)</f>
        <v>1</v>
      </c>
      <c r="C270" s="45"/>
      <c r="D270" s="1156"/>
      <c r="E270" s="1156"/>
      <c r="F270" s="1156"/>
      <c r="G270" s="1156"/>
      <c r="H270" s="1156"/>
      <c r="I270" s="468"/>
      <c r="J270" s="76"/>
      <c r="K270" s="843"/>
      <c r="L270" s="1157"/>
      <c r="M270" s="1158"/>
      <c r="N270" s="1158"/>
      <c r="O270" s="1158"/>
    </row>
    <row r="271" spans="1:15" x14ac:dyDescent="0.2">
      <c r="A271" s="75"/>
      <c r="B271" s="52">
        <f t="shared" si="6"/>
        <v>1</v>
      </c>
      <c r="C271" s="45"/>
      <c r="D271" s="1156"/>
      <c r="E271" s="1156"/>
      <c r="F271" s="1156"/>
      <c r="G271" s="1156"/>
      <c r="H271" s="1156"/>
      <c r="I271" s="468"/>
      <c r="J271" s="76"/>
      <c r="K271" s="843"/>
      <c r="L271" s="1157"/>
      <c r="M271" s="1158"/>
      <c r="N271" s="1158"/>
      <c r="O271" s="1158"/>
    </row>
    <row r="272" spans="1:15" x14ac:dyDescent="0.2">
      <c r="A272" s="75"/>
      <c r="B272" s="52">
        <f t="shared" si="6"/>
        <v>1</v>
      </c>
      <c r="C272" s="45"/>
      <c r="D272" s="1156"/>
      <c r="E272" s="1156"/>
      <c r="F272" s="1156"/>
      <c r="G272" s="1156"/>
      <c r="H272" s="1156"/>
      <c r="I272" s="468"/>
      <c r="J272" s="76"/>
      <c r="K272" s="843"/>
      <c r="L272" s="1157"/>
      <c r="M272" s="1158"/>
      <c r="N272" s="1158"/>
      <c r="O272" s="1158"/>
    </row>
    <row r="273" spans="1:15" x14ac:dyDescent="0.2">
      <c r="A273" s="75"/>
      <c r="B273" s="52">
        <f t="shared" si="6"/>
        <v>1</v>
      </c>
      <c r="C273" s="45"/>
      <c r="D273" s="1156"/>
      <c r="E273" s="1156"/>
      <c r="F273" s="1156"/>
      <c r="G273" s="1156"/>
      <c r="H273" s="1156"/>
      <c r="I273" s="468"/>
      <c r="J273" s="76"/>
      <c r="K273" s="843"/>
      <c r="L273" s="1157"/>
      <c r="M273" s="1158"/>
      <c r="N273" s="1158"/>
      <c r="O273" s="1158"/>
    </row>
    <row r="274" spans="1:15" x14ac:dyDescent="0.2">
      <c r="A274" s="75"/>
      <c r="B274" s="52">
        <f t="shared" si="6"/>
        <v>1</v>
      </c>
      <c r="C274" s="45"/>
      <c r="D274" s="1156"/>
      <c r="E274" s="1156"/>
      <c r="F274" s="1156"/>
      <c r="G274" s="1156"/>
      <c r="H274" s="1156"/>
      <c r="I274" s="468"/>
      <c r="J274" s="76"/>
      <c r="K274" s="843"/>
      <c r="L274" s="1157"/>
      <c r="M274" s="1158"/>
      <c r="N274" s="1158"/>
      <c r="O274" s="1158"/>
    </row>
    <row r="275" spans="1:15" x14ac:dyDescent="0.2">
      <c r="A275" s="75"/>
      <c r="B275" s="52">
        <f t="shared" si="6"/>
        <v>1</v>
      </c>
      <c r="C275" s="45"/>
      <c r="D275" s="1156"/>
      <c r="E275" s="1156"/>
      <c r="F275" s="1156"/>
      <c r="G275" s="1156"/>
      <c r="H275" s="1156"/>
      <c r="I275" s="468"/>
      <c r="J275" s="76"/>
      <c r="K275" s="843"/>
      <c r="L275" s="1157"/>
      <c r="M275" s="1158"/>
      <c r="N275" s="1158"/>
      <c r="O275" s="1158"/>
    </row>
    <row r="276" spans="1:15" x14ac:dyDescent="0.2">
      <c r="A276" s="75"/>
      <c r="B276" s="52">
        <f t="shared" si="6"/>
        <v>1</v>
      </c>
      <c r="C276" s="45"/>
      <c r="D276" s="1156"/>
      <c r="E276" s="1156"/>
      <c r="F276" s="1156"/>
      <c r="G276" s="1156"/>
      <c r="H276" s="1156"/>
      <c r="I276" s="468"/>
      <c r="J276" s="76"/>
      <c r="K276" s="843"/>
      <c r="L276" s="1157"/>
      <c r="M276" s="1158"/>
      <c r="N276" s="1158"/>
      <c r="O276" s="1158"/>
    </row>
    <row r="277" spans="1:15" x14ac:dyDescent="0.2">
      <c r="A277" s="75"/>
      <c r="B277" s="52">
        <f t="shared" si="6"/>
        <v>1</v>
      </c>
      <c r="C277" s="45"/>
      <c r="D277" s="1156"/>
      <c r="E277" s="1156"/>
      <c r="F277" s="1156"/>
      <c r="G277" s="1156"/>
      <c r="H277" s="1156"/>
      <c r="I277" s="468"/>
      <c r="J277" s="76"/>
      <c r="K277" s="843"/>
      <c r="L277" s="1157"/>
      <c r="M277" s="1158"/>
      <c r="N277" s="1158"/>
      <c r="O277" s="1158"/>
    </row>
    <row r="278" spans="1:15" x14ac:dyDescent="0.2">
      <c r="A278" s="75"/>
      <c r="B278" s="52">
        <f t="shared" si="6"/>
        <v>1</v>
      </c>
      <c r="C278" s="45"/>
      <c r="D278" s="1156"/>
      <c r="E278" s="1156"/>
      <c r="F278" s="1156"/>
      <c r="G278" s="1156"/>
      <c r="H278" s="1156"/>
      <c r="I278" s="468"/>
      <c r="J278" s="76"/>
      <c r="K278" s="843"/>
      <c r="L278" s="1157"/>
      <c r="M278" s="1158"/>
      <c r="N278" s="1158"/>
      <c r="O278" s="1158"/>
    </row>
    <row r="279" spans="1:15" x14ac:dyDescent="0.2">
      <c r="A279" s="75"/>
      <c r="B279" s="52">
        <f t="shared" si="6"/>
        <v>1</v>
      </c>
      <c r="C279" s="45"/>
      <c r="D279" s="1156"/>
      <c r="E279" s="1156"/>
      <c r="F279" s="1156"/>
      <c r="G279" s="1156"/>
      <c r="H279" s="1156"/>
      <c r="I279" s="468"/>
      <c r="J279" s="76"/>
      <c r="K279" s="843"/>
      <c r="L279" s="1157"/>
      <c r="M279" s="1158"/>
      <c r="N279" s="1158"/>
      <c r="O279" s="1158"/>
    </row>
    <row r="280" spans="1:15" x14ac:dyDescent="0.2">
      <c r="A280" s="75"/>
      <c r="B280" s="52">
        <f t="shared" si="6"/>
        <v>1</v>
      </c>
      <c r="C280" s="45"/>
      <c r="D280" s="1156"/>
      <c r="E280" s="1156"/>
      <c r="F280" s="1156"/>
      <c r="G280" s="1156"/>
      <c r="H280" s="1156"/>
      <c r="I280" s="468"/>
      <c r="J280" s="76"/>
      <c r="K280" s="843"/>
      <c r="L280" s="1157"/>
      <c r="M280" s="1158"/>
      <c r="N280" s="1158"/>
      <c r="O280" s="1158"/>
    </row>
    <row r="281" spans="1:15" x14ac:dyDescent="0.2">
      <c r="A281" s="75"/>
      <c r="B281" s="52">
        <f t="shared" si="6"/>
        <v>1</v>
      </c>
      <c r="C281" s="45"/>
      <c r="D281" s="1156"/>
      <c r="E281" s="1156"/>
      <c r="F281" s="1156"/>
      <c r="G281" s="1156"/>
      <c r="H281" s="1156"/>
      <c r="I281" s="468"/>
      <c r="J281" s="76"/>
      <c r="K281" s="843"/>
      <c r="L281" s="1157"/>
      <c r="M281" s="1158"/>
      <c r="N281" s="1158"/>
      <c r="O281" s="1158"/>
    </row>
    <row r="282" spans="1:15" x14ac:dyDescent="0.2">
      <c r="A282" s="75"/>
      <c r="B282" s="52">
        <f t="shared" si="6"/>
        <v>1</v>
      </c>
      <c r="C282" s="45"/>
      <c r="D282" s="1156"/>
      <c r="E282" s="1156"/>
      <c r="F282" s="1156"/>
      <c r="G282" s="1156"/>
      <c r="H282" s="1156"/>
      <c r="I282" s="468"/>
      <c r="J282" s="76"/>
      <c r="K282" s="843"/>
      <c r="L282" s="1157"/>
      <c r="M282" s="1158"/>
      <c r="N282" s="1158"/>
      <c r="O282" s="1158"/>
    </row>
    <row r="283" spans="1:15" x14ac:dyDescent="0.2">
      <c r="A283" s="75"/>
      <c r="B283" s="52">
        <f t="shared" si="6"/>
        <v>1</v>
      </c>
      <c r="C283" s="45"/>
      <c r="D283" s="1156"/>
      <c r="E283" s="1156"/>
      <c r="F283" s="1156"/>
      <c r="G283" s="1156"/>
      <c r="H283" s="1156"/>
      <c r="I283" s="468"/>
      <c r="J283" s="76"/>
      <c r="K283" s="843"/>
      <c r="L283" s="1157"/>
      <c r="M283" s="1158"/>
      <c r="N283" s="1158"/>
      <c r="O283" s="1158"/>
    </row>
    <row r="284" spans="1:15" x14ac:dyDescent="0.2">
      <c r="A284" s="75"/>
      <c r="B284" s="52">
        <f t="shared" si="6"/>
        <v>1</v>
      </c>
      <c r="C284" s="45"/>
      <c r="D284" s="1156"/>
      <c r="E284" s="1156"/>
      <c r="F284" s="1156"/>
      <c r="G284" s="1156"/>
      <c r="H284" s="1156"/>
      <c r="I284" s="468"/>
      <c r="J284" s="76"/>
      <c r="K284" s="843"/>
      <c r="L284" s="1157"/>
      <c r="M284" s="1158"/>
      <c r="N284" s="1158"/>
      <c r="O284" s="1158"/>
    </row>
    <row r="285" spans="1:15" x14ac:dyDescent="0.2">
      <c r="A285" s="75"/>
      <c r="B285" s="52">
        <f t="shared" si="6"/>
        <v>1</v>
      </c>
      <c r="C285" s="45"/>
      <c r="D285" s="1156"/>
      <c r="E285" s="1156"/>
      <c r="F285" s="1156"/>
      <c r="G285" s="1156"/>
      <c r="H285" s="1156"/>
      <c r="I285" s="468"/>
      <c r="J285" s="76"/>
      <c r="K285" s="843"/>
      <c r="L285" s="1157"/>
      <c r="M285" s="1158"/>
      <c r="N285" s="1158"/>
      <c r="O285" s="1158"/>
    </row>
    <row r="286" spans="1:15" x14ac:dyDescent="0.2">
      <c r="A286" s="75"/>
      <c r="B286" s="52">
        <f t="shared" si="6"/>
        <v>1</v>
      </c>
      <c r="C286" s="45"/>
      <c r="D286" s="1156"/>
      <c r="E286" s="1156"/>
      <c r="F286" s="1156"/>
      <c r="G286" s="1156"/>
      <c r="H286" s="1156"/>
      <c r="I286" s="468"/>
      <c r="J286" s="76"/>
      <c r="K286" s="843"/>
      <c r="L286" s="1157"/>
      <c r="M286" s="1158"/>
      <c r="N286" s="1158"/>
      <c r="O286" s="1158"/>
    </row>
    <row r="287" spans="1:15" x14ac:dyDescent="0.2">
      <c r="A287" s="75"/>
      <c r="B287" s="52">
        <f t="shared" si="6"/>
        <v>1</v>
      </c>
      <c r="C287" s="45"/>
      <c r="D287" s="1156"/>
      <c r="E287" s="1156"/>
      <c r="F287" s="1156"/>
      <c r="G287" s="1156"/>
      <c r="H287" s="1156"/>
      <c r="I287" s="468"/>
      <c r="J287" s="76"/>
      <c r="K287" s="843"/>
      <c r="L287" s="1157"/>
      <c r="M287" s="1158"/>
      <c r="N287" s="1158"/>
      <c r="O287" s="1158"/>
    </row>
    <row r="288" spans="1:15" x14ac:dyDescent="0.2">
      <c r="A288" s="75"/>
      <c r="B288" s="52">
        <f t="shared" si="6"/>
        <v>1</v>
      </c>
      <c r="C288" s="45"/>
      <c r="D288" s="1156"/>
      <c r="E288" s="1156"/>
      <c r="F288" s="1156"/>
      <c r="G288" s="1156"/>
      <c r="H288" s="1156"/>
      <c r="I288" s="468"/>
      <c r="J288" s="76"/>
      <c r="K288" s="843"/>
      <c r="L288" s="1157"/>
      <c r="M288" s="1158"/>
      <c r="N288" s="1158"/>
      <c r="O288" s="1158"/>
    </row>
    <row r="289" spans="1:15" x14ac:dyDescent="0.2">
      <c r="A289" s="75"/>
      <c r="B289" s="52">
        <f t="shared" si="6"/>
        <v>1</v>
      </c>
      <c r="C289" s="45"/>
      <c r="D289" s="1156"/>
      <c r="E289" s="1156"/>
      <c r="F289" s="1156"/>
      <c r="G289" s="1156"/>
      <c r="H289" s="1156"/>
      <c r="I289" s="468"/>
      <c r="J289" s="76"/>
      <c r="K289" s="843"/>
      <c r="L289" s="1157"/>
      <c r="M289" s="1158"/>
      <c r="N289" s="1158"/>
      <c r="O289" s="1158"/>
    </row>
    <row r="290" spans="1:15" x14ac:dyDescent="0.2">
      <c r="A290" s="75"/>
      <c r="B290" s="52">
        <f t="shared" si="6"/>
        <v>1</v>
      </c>
      <c r="C290" s="45"/>
      <c r="D290" s="1156"/>
      <c r="E290" s="1156"/>
      <c r="F290" s="1156"/>
      <c r="G290" s="1156"/>
      <c r="H290" s="1156"/>
      <c r="I290" s="468"/>
      <c r="J290" s="76"/>
      <c r="K290" s="843"/>
      <c r="L290" s="1157"/>
      <c r="M290" s="1158"/>
      <c r="N290" s="1158"/>
      <c r="O290" s="1158"/>
    </row>
    <row r="291" spans="1:15" x14ac:dyDescent="0.2">
      <c r="A291" s="75"/>
      <c r="B291" s="52">
        <f t="shared" si="6"/>
        <v>1</v>
      </c>
      <c r="C291" s="45"/>
      <c r="D291" s="1156"/>
      <c r="E291" s="1156"/>
      <c r="F291" s="1156"/>
      <c r="G291" s="1156"/>
      <c r="H291" s="1156"/>
      <c r="I291" s="468"/>
      <c r="J291" s="76"/>
      <c r="K291" s="843"/>
      <c r="L291" s="1157"/>
      <c r="M291" s="1158"/>
      <c r="N291" s="1158"/>
      <c r="O291" s="1158"/>
    </row>
    <row r="292" spans="1:15" x14ac:dyDescent="0.2">
      <c r="A292" s="75"/>
      <c r="B292" s="52">
        <f t="shared" si="6"/>
        <v>1</v>
      </c>
      <c r="C292" s="45"/>
      <c r="D292" s="1156"/>
      <c r="E292" s="1156"/>
      <c r="F292" s="1156"/>
      <c r="G292" s="1156"/>
      <c r="H292" s="1156"/>
      <c r="I292" s="468"/>
      <c r="J292" s="76"/>
      <c r="K292" s="843"/>
      <c r="L292" s="1157"/>
      <c r="M292" s="1158"/>
      <c r="N292" s="1158"/>
      <c r="O292" s="1158"/>
    </row>
    <row r="293" spans="1:15" x14ac:dyDescent="0.2">
      <c r="A293" s="75"/>
      <c r="B293" s="52">
        <f t="shared" si="6"/>
        <v>1</v>
      </c>
      <c r="C293" s="45"/>
      <c r="D293" s="1156"/>
      <c r="E293" s="1156"/>
      <c r="F293" s="1156"/>
      <c r="G293" s="1156"/>
      <c r="H293" s="1156"/>
      <c r="I293" s="468"/>
      <c r="J293" s="76"/>
      <c r="K293" s="843"/>
      <c r="L293" s="1157"/>
      <c r="M293" s="1158"/>
      <c r="N293" s="1158"/>
      <c r="O293" s="1158"/>
    </row>
    <row r="294" spans="1:15" x14ac:dyDescent="0.2">
      <c r="A294" s="75"/>
      <c r="B294" s="52">
        <f t="shared" si="6"/>
        <v>1</v>
      </c>
      <c r="C294" s="45"/>
      <c r="D294" s="1156"/>
      <c r="E294" s="1156"/>
      <c r="F294" s="1156"/>
      <c r="G294" s="1156"/>
      <c r="H294" s="1156"/>
      <c r="I294" s="468"/>
      <c r="J294" s="76"/>
      <c r="K294" s="843"/>
      <c r="L294" s="1157"/>
      <c r="M294" s="1158"/>
      <c r="N294" s="1158"/>
      <c r="O294" s="1158"/>
    </row>
    <row r="295" spans="1:15" x14ac:dyDescent="0.2">
      <c r="A295" s="75"/>
      <c r="B295" s="52">
        <f t="shared" si="6"/>
        <v>1</v>
      </c>
      <c r="C295" s="45"/>
      <c r="D295" s="1156"/>
      <c r="E295" s="1156"/>
      <c r="F295" s="1156"/>
      <c r="G295" s="1156"/>
      <c r="H295" s="1156"/>
      <c r="I295" s="468"/>
      <c r="J295" s="76"/>
      <c r="K295" s="843"/>
      <c r="L295" s="1157"/>
      <c r="M295" s="1158"/>
      <c r="N295" s="1158"/>
      <c r="O295" s="1158"/>
    </row>
    <row r="296" spans="1:15" x14ac:dyDescent="0.2">
      <c r="A296" s="75"/>
      <c r="B296" s="52">
        <f t="shared" si="6"/>
        <v>1</v>
      </c>
      <c r="C296" s="45"/>
      <c r="D296" s="1156"/>
      <c r="E296" s="1156"/>
      <c r="F296" s="1156"/>
      <c r="G296" s="1156"/>
      <c r="H296" s="1156"/>
      <c r="I296" s="468"/>
      <c r="J296" s="76"/>
      <c r="K296" s="843"/>
      <c r="L296" s="1157"/>
      <c r="M296" s="1158"/>
      <c r="N296" s="1158"/>
      <c r="O296" s="1158"/>
    </row>
    <row r="297" spans="1:15" x14ac:dyDescent="0.2">
      <c r="A297" s="75"/>
      <c r="B297" s="52">
        <f t="shared" si="6"/>
        <v>1</v>
      </c>
      <c r="C297" s="45"/>
      <c r="D297" s="1156"/>
      <c r="E297" s="1156"/>
      <c r="F297" s="1156"/>
      <c r="G297" s="1156"/>
      <c r="H297" s="1156"/>
      <c r="I297" s="468"/>
      <c r="J297" s="76"/>
      <c r="K297" s="843"/>
      <c r="L297" s="1157"/>
      <c r="M297" s="1158"/>
      <c r="N297" s="1158"/>
      <c r="O297" s="1158"/>
    </row>
    <row r="298" spans="1:15" x14ac:dyDescent="0.2">
      <c r="A298" s="75"/>
      <c r="B298" s="52">
        <f t="shared" si="6"/>
        <v>1</v>
      </c>
      <c r="C298" s="45"/>
      <c r="D298" s="1156"/>
      <c r="E298" s="1156"/>
      <c r="F298" s="1156"/>
      <c r="G298" s="1156"/>
      <c r="H298" s="1156"/>
      <c r="I298" s="468"/>
      <c r="J298" s="76"/>
      <c r="K298" s="843"/>
      <c r="L298" s="1157"/>
      <c r="M298" s="1158"/>
      <c r="N298" s="1158"/>
      <c r="O298" s="1158"/>
    </row>
    <row r="299" spans="1:15" x14ac:dyDescent="0.2">
      <c r="A299" s="75"/>
      <c r="B299" s="52">
        <f t="shared" si="6"/>
        <v>1</v>
      </c>
      <c r="C299" s="45"/>
      <c r="D299" s="1156"/>
      <c r="E299" s="1156"/>
      <c r="F299" s="1156"/>
      <c r="G299" s="1156"/>
      <c r="H299" s="1156"/>
      <c r="I299" s="468"/>
      <c r="J299" s="76"/>
      <c r="K299" s="843"/>
      <c r="L299" s="1157"/>
      <c r="M299" s="1158"/>
      <c r="N299" s="1158"/>
      <c r="O299" s="1158"/>
    </row>
    <row r="300" spans="1:15" x14ac:dyDescent="0.2">
      <c r="A300" s="75"/>
      <c r="B300" s="52">
        <f t="shared" si="6"/>
        <v>1</v>
      </c>
      <c r="C300" s="45"/>
      <c r="D300" s="1156"/>
      <c r="E300" s="1156"/>
      <c r="F300" s="1156"/>
      <c r="G300" s="1156"/>
      <c r="H300" s="1156"/>
      <c r="I300" s="468"/>
      <c r="J300" s="76"/>
      <c r="K300" s="843"/>
      <c r="L300" s="1157"/>
      <c r="M300" s="1158"/>
      <c r="N300" s="1158"/>
      <c r="O300" s="1158"/>
    </row>
    <row r="301" spans="1:15" x14ac:dyDescent="0.2">
      <c r="A301" s="75"/>
      <c r="B301" s="52">
        <f t="shared" si="6"/>
        <v>1</v>
      </c>
      <c r="C301" s="45"/>
      <c r="D301" s="1156"/>
      <c r="E301" s="1156"/>
      <c r="F301" s="1156"/>
      <c r="G301" s="1156"/>
      <c r="H301" s="1156"/>
      <c r="I301" s="468"/>
      <c r="J301" s="76"/>
      <c r="K301" s="843"/>
      <c r="L301" s="1157"/>
      <c r="M301" s="1158"/>
      <c r="N301" s="1158"/>
      <c r="O301" s="1158"/>
    </row>
    <row r="302" spans="1:15" x14ac:dyDescent="0.2">
      <c r="A302" s="75"/>
      <c r="B302" s="52">
        <f t="shared" si="6"/>
        <v>1</v>
      </c>
      <c r="C302" s="45"/>
      <c r="D302" s="1156"/>
      <c r="E302" s="1156"/>
      <c r="F302" s="1156"/>
      <c r="G302" s="1156"/>
      <c r="H302" s="1156"/>
      <c r="I302" s="468"/>
      <c r="J302" s="76"/>
      <c r="K302" s="843"/>
      <c r="L302" s="1157"/>
      <c r="M302" s="1158"/>
      <c r="N302" s="1158"/>
      <c r="O302" s="1158"/>
    </row>
    <row r="303" spans="1:15" x14ac:dyDescent="0.2">
      <c r="A303" s="75"/>
      <c r="B303" s="52">
        <f t="shared" si="6"/>
        <v>1</v>
      </c>
      <c r="C303" s="45"/>
      <c r="D303" s="1156"/>
      <c r="E303" s="1156"/>
      <c r="F303" s="1156"/>
      <c r="G303" s="1156"/>
      <c r="H303" s="1156"/>
      <c r="I303" s="468"/>
      <c r="J303" s="76"/>
      <c r="K303" s="843"/>
      <c r="L303" s="1157"/>
      <c r="M303" s="1158"/>
      <c r="N303" s="1158"/>
      <c r="O303" s="1158"/>
    </row>
    <row r="304" spans="1:15" x14ac:dyDescent="0.2">
      <c r="A304" s="75"/>
      <c r="B304" s="52">
        <f t="shared" si="6"/>
        <v>1</v>
      </c>
      <c r="C304" s="45"/>
      <c r="D304" s="1156"/>
      <c r="E304" s="1156"/>
      <c r="F304" s="1156"/>
      <c r="G304" s="1156"/>
      <c r="H304" s="1156"/>
      <c r="I304" s="468"/>
      <c r="J304" s="76"/>
      <c r="K304" s="843"/>
      <c r="L304" s="1157"/>
      <c r="M304" s="1158"/>
      <c r="N304" s="1158"/>
      <c r="O304" s="1158"/>
    </row>
    <row r="305" spans="1:15" x14ac:dyDescent="0.2">
      <c r="A305" s="75"/>
      <c r="B305" s="52">
        <f t="shared" si="6"/>
        <v>1</v>
      </c>
      <c r="C305" s="45"/>
      <c r="D305" s="1156"/>
      <c r="E305" s="1156"/>
      <c r="F305" s="1156"/>
      <c r="G305" s="1156"/>
      <c r="H305" s="1156"/>
      <c r="I305" s="468"/>
      <c r="J305" s="76"/>
      <c r="K305" s="843"/>
      <c r="L305" s="1157"/>
      <c r="M305" s="1158"/>
      <c r="N305" s="1158"/>
      <c r="O305" s="1158"/>
    </row>
    <row r="306" spans="1:15" x14ac:dyDescent="0.2">
      <c r="A306" s="75"/>
      <c r="B306" s="52">
        <f t="shared" si="6"/>
        <v>1</v>
      </c>
      <c r="C306" s="45"/>
      <c r="D306" s="1156"/>
      <c r="E306" s="1156"/>
      <c r="F306" s="1156"/>
      <c r="G306" s="1156"/>
      <c r="H306" s="1156"/>
      <c r="I306" s="468"/>
      <c r="J306" s="76"/>
      <c r="K306" s="843"/>
      <c r="L306" s="1157"/>
      <c r="M306" s="1158"/>
      <c r="N306" s="1158"/>
      <c r="O306" s="1158"/>
    </row>
    <row r="307" spans="1:15" x14ac:dyDescent="0.2">
      <c r="A307" s="75"/>
      <c r="B307" s="52">
        <f t="shared" si="6"/>
        <v>1</v>
      </c>
      <c r="C307" s="45"/>
      <c r="D307" s="1156"/>
      <c r="E307" s="1156"/>
      <c r="F307" s="1156"/>
      <c r="G307" s="1156"/>
      <c r="H307" s="1156"/>
      <c r="I307" s="468"/>
      <c r="J307" s="76"/>
      <c r="K307" s="843"/>
      <c r="L307" s="1157"/>
      <c r="M307" s="1158"/>
      <c r="N307" s="1158"/>
      <c r="O307" s="1158"/>
    </row>
    <row r="308" spans="1:15" x14ac:dyDescent="0.2">
      <c r="A308" s="75"/>
      <c r="B308" s="52">
        <f t="shared" si="6"/>
        <v>1</v>
      </c>
      <c r="C308" s="45"/>
      <c r="D308" s="1156"/>
      <c r="E308" s="1156"/>
      <c r="F308" s="1156"/>
      <c r="G308" s="1156"/>
      <c r="H308" s="1156"/>
      <c r="I308" s="468"/>
      <c r="J308" s="76"/>
      <c r="K308" s="843"/>
      <c r="L308" s="1157"/>
      <c r="M308" s="1158"/>
      <c r="N308" s="1158"/>
      <c r="O308" s="1158"/>
    </row>
    <row r="309" spans="1:15" x14ac:dyDescent="0.2">
      <c r="A309" s="75"/>
      <c r="B309" s="52">
        <f t="shared" si="6"/>
        <v>1</v>
      </c>
      <c r="C309" s="45"/>
      <c r="D309" s="1156"/>
      <c r="E309" s="1156"/>
      <c r="F309" s="1156"/>
      <c r="G309" s="1156"/>
      <c r="H309" s="1156"/>
      <c r="I309" s="468"/>
      <c r="J309" s="76"/>
      <c r="K309" s="843"/>
      <c r="L309" s="1157"/>
      <c r="M309" s="1158"/>
      <c r="N309" s="1158"/>
      <c r="O309" s="1158"/>
    </row>
    <row r="310" spans="1:15" x14ac:dyDescent="0.2">
      <c r="A310" s="75"/>
      <c r="B310" s="52">
        <f t="shared" si="6"/>
        <v>1</v>
      </c>
      <c r="C310" s="45"/>
      <c r="D310" s="1156"/>
      <c r="E310" s="1156"/>
      <c r="F310" s="1156"/>
      <c r="G310" s="1156"/>
      <c r="H310" s="1156"/>
      <c r="I310" s="468"/>
      <c r="J310" s="76"/>
      <c r="K310" s="843"/>
      <c r="L310" s="1157"/>
      <c r="M310" s="1158"/>
      <c r="N310" s="1158"/>
      <c r="O310" s="1158"/>
    </row>
    <row r="311" spans="1:15" x14ac:dyDescent="0.2">
      <c r="A311" s="75"/>
      <c r="B311" s="52">
        <f t="shared" si="6"/>
        <v>1</v>
      </c>
      <c r="C311" s="45"/>
      <c r="D311" s="1156"/>
      <c r="E311" s="1156"/>
      <c r="F311" s="1156"/>
      <c r="G311" s="1156"/>
      <c r="H311" s="1156"/>
      <c r="I311" s="468"/>
      <c r="J311" s="76"/>
      <c r="K311" s="843"/>
      <c r="L311" s="1157"/>
      <c r="M311" s="1158"/>
      <c r="N311" s="1158"/>
      <c r="O311" s="1158"/>
    </row>
    <row r="312" spans="1:15" x14ac:dyDescent="0.2">
      <c r="A312" s="75"/>
      <c r="B312" s="52">
        <f t="shared" si="6"/>
        <v>1</v>
      </c>
      <c r="C312" s="45"/>
      <c r="D312" s="1156"/>
      <c r="E312" s="1156"/>
      <c r="F312" s="1156"/>
      <c r="G312" s="1156"/>
      <c r="H312" s="1156"/>
      <c r="I312" s="468"/>
      <c r="J312" s="76"/>
      <c r="K312" s="843"/>
      <c r="L312" s="1157"/>
      <c r="M312" s="1158"/>
      <c r="N312" s="1158"/>
      <c r="O312" s="1158"/>
    </row>
    <row r="313" spans="1:15" x14ac:dyDescent="0.2">
      <c r="A313" s="75"/>
      <c r="B313" s="52">
        <f t="shared" si="6"/>
        <v>1</v>
      </c>
      <c r="C313" s="45"/>
      <c r="D313" s="1156"/>
      <c r="E313" s="1156"/>
      <c r="F313" s="1156"/>
      <c r="G313" s="1156"/>
      <c r="H313" s="1156"/>
      <c r="I313" s="468"/>
      <c r="J313" s="76"/>
      <c r="K313" s="843"/>
      <c r="L313" s="1157"/>
      <c r="M313" s="1158"/>
      <c r="N313" s="1158"/>
      <c r="O313" s="1158"/>
    </row>
    <row r="314" spans="1:15" x14ac:dyDescent="0.2">
      <c r="A314" s="75"/>
      <c r="B314" s="52">
        <f t="shared" si="6"/>
        <v>1</v>
      </c>
      <c r="C314" s="45"/>
      <c r="D314" s="1156"/>
      <c r="E314" s="1156"/>
      <c r="F314" s="1156"/>
      <c r="G314" s="1156"/>
      <c r="H314" s="1156"/>
      <c r="I314" s="468"/>
      <c r="J314" s="76"/>
      <c r="K314" s="843"/>
      <c r="L314" s="1157"/>
      <c r="M314" s="1158"/>
      <c r="N314" s="1158"/>
      <c r="O314" s="1158"/>
    </row>
    <row r="315" spans="1:15" x14ac:dyDescent="0.2">
      <c r="A315" s="75"/>
      <c r="B315" s="52">
        <f t="shared" si="6"/>
        <v>1</v>
      </c>
      <c r="C315" s="45"/>
      <c r="D315" s="1156"/>
      <c r="E315" s="1156"/>
      <c r="F315" s="1156"/>
      <c r="G315" s="1156"/>
      <c r="H315" s="1156"/>
      <c r="I315" s="468"/>
      <c r="J315" s="76"/>
      <c r="K315" s="843"/>
      <c r="L315" s="1157"/>
      <c r="M315" s="1158"/>
      <c r="N315" s="1158"/>
      <c r="O315" s="1158"/>
    </row>
    <row r="316" spans="1:15" x14ac:dyDescent="0.2">
      <c r="A316" s="75"/>
      <c r="B316" s="52">
        <f t="shared" si="6"/>
        <v>1</v>
      </c>
      <c r="C316" s="45"/>
      <c r="D316" s="1156"/>
      <c r="E316" s="1156"/>
      <c r="F316" s="1156"/>
      <c r="G316" s="1156"/>
      <c r="H316" s="1156"/>
      <c r="I316" s="468"/>
      <c r="J316" s="76"/>
      <c r="K316" s="843"/>
      <c r="L316" s="1157"/>
      <c r="M316" s="1158"/>
      <c r="N316" s="1158"/>
      <c r="O316" s="1158"/>
    </row>
    <row r="317" spans="1:15" x14ac:dyDescent="0.2">
      <c r="A317" s="75"/>
      <c r="B317" s="52">
        <f t="shared" si="6"/>
        <v>1</v>
      </c>
      <c r="C317" s="45"/>
      <c r="D317" s="1156"/>
      <c r="E317" s="1156"/>
      <c r="F317" s="1156"/>
      <c r="G317" s="1156"/>
      <c r="H317" s="1156"/>
      <c r="I317" s="468"/>
      <c r="J317" s="76"/>
      <c r="K317" s="843"/>
      <c r="L317" s="1157"/>
      <c r="M317" s="1158"/>
      <c r="N317" s="1158"/>
      <c r="O317" s="1158"/>
    </row>
    <row r="318" spans="1:15" x14ac:dyDescent="0.2">
      <c r="A318" s="75"/>
      <c r="B318" s="52">
        <f t="shared" si="6"/>
        <v>1</v>
      </c>
      <c r="C318" s="45"/>
      <c r="D318" s="1156"/>
      <c r="E318" s="1156"/>
      <c r="F318" s="1156"/>
      <c r="G318" s="1156"/>
      <c r="H318" s="1156"/>
      <c r="I318" s="468"/>
      <c r="J318" s="76"/>
      <c r="K318" s="843"/>
      <c r="L318" s="1157"/>
      <c r="M318" s="1158"/>
      <c r="N318" s="1158"/>
      <c r="O318" s="1158"/>
    </row>
    <row r="319" spans="1:15" x14ac:dyDescent="0.2">
      <c r="A319" s="75"/>
      <c r="B319" s="52">
        <f t="shared" si="6"/>
        <v>1</v>
      </c>
      <c r="C319" s="45"/>
      <c r="D319" s="1156"/>
      <c r="E319" s="1156"/>
      <c r="F319" s="1156"/>
      <c r="G319" s="1156"/>
      <c r="H319" s="1156"/>
      <c r="I319" s="468"/>
      <c r="J319" s="76"/>
      <c r="K319" s="843"/>
      <c r="L319" s="1157"/>
      <c r="M319" s="1158"/>
      <c r="N319" s="1158"/>
      <c r="O319" s="1158"/>
    </row>
    <row r="320" spans="1:15" x14ac:dyDescent="0.2">
      <c r="A320" s="75"/>
      <c r="B320" s="52">
        <f t="shared" si="6"/>
        <v>1</v>
      </c>
      <c r="C320" s="45"/>
      <c r="D320" s="1156"/>
      <c r="E320" s="1156"/>
      <c r="F320" s="1156"/>
      <c r="G320" s="1156"/>
      <c r="H320" s="1156"/>
      <c r="I320" s="468"/>
      <c r="J320" s="76"/>
      <c r="K320" s="843"/>
      <c r="L320" s="1157"/>
      <c r="M320" s="1158"/>
      <c r="N320" s="1158"/>
      <c r="O320" s="1158"/>
    </row>
    <row r="321" spans="1:15" x14ac:dyDescent="0.2">
      <c r="A321" s="75"/>
      <c r="B321" s="52">
        <f t="shared" si="6"/>
        <v>1</v>
      </c>
      <c r="C321" s="45"/>
      <c r="D321" s="1156"/>
      <c r="E321" s="1156"/>
      <c r="F321" s="1156"/>
      <c r="G321" s="1156"/>
      <c r="H321" s="1156"/>
      <c r="I321" s="468"/>
      <c r="J321" s="76"/>
      <c r="K321" s="843"/>
      <c r="L321" s="1157"/>
      <c r="M321" s="1158"/>
      <c r="N321" s="1158"/>
      <c r="O321" s="1158"/>
    </row>
    <row r="322" spans="1:15" x14ac:dyDescent="0.2">
      <c r="A322" s="75"/>
      <c r="B322" s="52">
        <f t="shared" si="6"/>
        <v>1</v>
      </c>
      <c r="C322" s="45"/>
      <c r="D322" s="1156"/>
      <c r="E322" s="1156"/>
      <c r="F322" s="1156"/>
      <c r="G322" s="1156"/>
      <c r="H322" s="1156"/>
      <c r="I322" s="468"/>
      <c r="J322" s="76"/>
      <c r="K322" s="843"/>
      <c r="L322" s="1157"/>
      <c r="M322" s="1158"/>
      <c r="N322" s="1158"/>
      <c r="O322" s="1158"/>
    </row>
    <row r="323" spans="1:15" x14ac:dyDescent="0.2">
      <c r="A323" s="75"/>
      <c r="B323" s="52">
        <f t="shared" si="6"/>
        <v>1</v>
      </c>
      <c r="C323" s="45"/>
      <c r="D323" s="1156"/>
      <c r="E323" s="1156"/>
      <c r="F323" s="1156"/>
      <c r="G323" s="1156"/>
      <c r="H323" s="1156"/>
      <c r="I323" s="468"/>
      <c r="J323" s="76"/>
      <c r="K323" s="843"/>
      <c r="L323" s="1157"/>
      <c r="M323" s="1158"/>
      <c r="N323" s="1158"/>
      <c r="O323" s="1158"/>
    </row>
    <row r="324" spans="1:15" x14ac:dyDescent="0.2">
      <c r="A324" s="75"/>
      <c r="B324" s="52">
        <f t="shared" si="6"/>
        <v>1</v>
      </c>
      <c r="C324" s="45"/>
      <c r="D324" s="1156"/>
      <c r="E324" s="1156"/>
      <c r="F324" s="1156"/>
      <c r="G324" s="1156"/>
      <c r="H324" s="1156"/>
      <c r="I324" s="468"/>
      <c r="J324" s="76"/>
      <c r="K324" s="843"/>
      <c r="L324" s="1157"/>
      <c r="M324" s="1158"/>
      <c r="N324" s="1158"/>
      <c r="O324" s="1158"/>
    </row>
    <row r="325" spans="1:15" x14ac:dyDescent="0.2">
      <c r="A325" s="75"/>
      <c r="B325" s="52">
        <f t="shared" si="6"/>
        <v>1</v>
      </c>
      <c r="C325" s="45"/>
      <c r="D325" s="1156"/>
      <c r="E325" s="1156"/>
      <c r="F325" s="1156"/>
      <c r="G325" s="1156"/>
      <c r="H325" s="1156"/>
      <c r="I325" s="468"/>
      <c r="J325" s="76"/>
      <c r="K325" s="843"/>
      <c r="L325" s="1157"/>
      <c r="M325" s="1158"/>
      <c r="N325" s="1158"/>
      <c r="O325" s="1158"/>
    </row>
    <row r="326" spans="1:15" x14ac:dyDescent="0.2">
      <c r="A326" s="75"/>
      <c r="B326" s="52">
        <f t="shared" si="6"/>
        <v>1</v>
      </c>
      <c r="C326" s="45"/>
      <c r="D326" s="1156"/>
      <c r="E326" s="1156"/>
      <c r="F326" s="1156"/>
      <c r="G326" s="1156"/>
      <c r="H326" s="1156"/>
      <c r="I326" s="468"/>
      <c r="J326" s="76"/>
      <c r="K326" s="843"/>
      <c r="L326" s="1157"/>
      <c r="M326" s="1158"/>
      <c r="N326" s="1158"/>
      <c r="O326" s="1158"/>
    </row>
    <row r="327" spans="1:15" x14ac:dyDescent="0.2">
      <c r="A327" s="75"/>
      <c r="B327" s="52">
        <f t="shared" si="6"/>
        <v>1</v>
      </c>
      <c r="C327" s="45"/>
      <c r="D327" s="1156"/>
      <c r="E327" s="1156"/>
      <c r="F327" s="1156"/>
      <c r="G327" s="1156"/>
      <c r="H327" s="1156"/>
      <c r="I327" s="468"/>
      <c r="J327" s="76"/>
      <c r="K327" s="843"/>
      <c r="L327" s="1157"/>
      <c r="M327" s="1158"/>
      <c r="N327" s="1158"/>
      <c r="O327" s="1158"/>
    </row>
    <row r="328" spans="1:15" x14ac:dyDescent="0.2">
      <c r="A328" s="75"/>
      <c r="B328" s="52">
        <f t="shared" si="6"/>
        <v>1</v>
      </c>
      <c r="C328" s="45"/>
      <c r="D328" s="1156"/>
      <c r="E328" s="1156"/>
      <c r="F328" s="1156"/>
      <c r="G328" s="1156"/>
      <c r="H328" s="1156"/>
      <c r="I328" s="468"/>
      <c r="J328" s="76"/>
      <c r="K328" s="843"/>
      <c r="L328" s="1157"/>
      <c r="M328" s="1158"/>
      <c r="N328" s="1158"/>
      <c r="O328" s="1158"/>
    </row>
    <row r="329" spans="1:15" x14ac:dyDescent="0.2">
      <c r="A329" s="75"/>
      <c r="B329" s="52">
        <f t="shared" si="6"/>
        <v>1</v>
      </c>
      <c r="C329" s="45"/>
      <c r="D329" s="1156"/>
      <c r="E329" s="1156"/>
      <c r="F329" s="1156"/>
      <c r="G329" s="1156"/>
      <c r="H329" s="1156"/>
      <c r="I329" s="468"/>
      <c r="J329" s="76"/>
      <c r="K329" s="843"/>
      <c r="L329" s="1157"/>
      <c r="M329" s="1158"/>
      <c r="N329" s="1158"/>
      <c r="O329" s="1158"/>
    </row>
    <row r="330" spans="1:15" x14ac:dyDescent="0.2">
      <c r="A330" s="75"/>
      <c r="B330" s="52">
        <f t="shared" si="6"/>
        <v>1</v>
      </c>
      <c r="C330" s="45"/>
      <c r="D330" s="1156"/>
      <c r="E330" s="1156"/>
      <c r="F330" s="1156"/>
      <c r="G330" s="1156"/>
      <c r="H330" s="1156"/>
      <c r="I330" s="468"/>
      <c r="J330" s="76"/>
      <c r="K330" s="843"/>
      <c r="L330" s="1157"/>
      <c r="M330" s="1158"/>
      <c r="N330" s="1158"/>
      <c r="O330" s="1158"/>
    </row>
    <row r="331" spans="1:15" x14ac:dyDescent="0.2">
      <c r="A331" s="75"/>
      <c r="B331" s="52">
        <f t="shared" si="6"/>
        <v>1</v>
      </c>
      <c r="C331" s="45"/>
      <c r="D331" s="1156"/>
      <c r="E331" s="1156"/>
      <c r="F331" s="1156"/>
      <c r="G331" s="1156"/>
      <c r="H331" s="1156"/>
      <c r="I331" s="468"/>
      <c r="J331" s="76"/>
      <c r="K331" s="843"/>
      <c r="L331" s="1157"/>
      <c r="M331" s="1158"/>
      <c r="N331" s="1158"/>
      <c r="O331" s="1158"/>
    </row>
    <row r="332" spans="1:15" x14ac:dyDescent="0.2">
      <c r="A332" s="75"/>
      <c r="B332" s="52">
        <f t="shared" si="6"/>
        <v>1</v>
      </c>
      <c r="C332" s="45"/>
      <c r="D332" s="1156"/>
      <c r="E332" s="1156"/>
      <c r="F332" s="1156"/>
      <c r="G332" s="1156"/>
      <c r="H332" s="1156"/>
      <c r="I332" s="468"/>
      <c r="J332" s="76"/>
      <c r="K332" s="843"/>
      <c r="L332" s="1157"/>
      <c r="M332" s="1158"/>
      <c r="N332" s="1158"/>
      <c r="O332" s="1158"/>
    </row>
    <row r="333" spans="1:15" x14ac:dyDescent="0.2">
      <c r="A333" s="75"/>
      <c r="B333" s="52">
        <f t="shared" si="6"/>
        <v>1</v>
      </c>
      <c r="C333" s="45"/>
      <c r="D333" s="1156"/>
      <c r="E333" s="1156"/>
      <c r="F333" s="1156"/>
      <c r="G333" s="1156"/>
      <c r="H333" s="1156"/>
      <c r="I333" s="468"/>
      <c r="J333" s="76"/>
      <c r="K333" s="843"/>
      <c r="L333" s="1157"/>
      <c r="M333" s="1158"/>
      <c r="N333" s="1158"/>
      <c r="O333" s="1158"/>
    </row>
    <row r="334" spans="1:15" x14ac:dyDescent="0.2">
      <c r="A334" s="75"/>
      <c r="B334" s="52">
        <f t="shared" ref="B334:B397" si="7">MONTH(A334)</f>
        <v>1</v>
      </c>
      <c r="C334" s="45"/>
      <c r="D334" s="1156"/>
      <c r="E334" s="1156"/>
      <c r="F334" s="1156"/>
      <c r="G334" s="1156"/>
      <c r="H334" s="1156"/>
      <c r="I334" s="468"/>
      <c r="J334" s="76"/>
      <c r="K334" s="843"/>
      <c r="L334" s="1157"/>
      <c r="M334" s="1158"/>
      <c r="N334" s="1158"/>
      <c r="O334" s="1158"/>
    </row>
    <row r="335" spans="1:15" x14ac:dyDescent="0.2">
      <c r="A335" s="75"/>
      <c r="B335" s="52">
        <f t="shared" si="7"/>
        <v>1</v>
      </c>
      <c r="C335" s="45"/>
      <c r="D335" s="1156"/>
      <c r="E335" s="1156"/>
      <c r="F335" s="1156"/>
      <c r="G335" s="1156"/>
      <c r="H335" s="1156"/>
      <c r="I335" s="468"/>
      <c r="J335" s="76"/>
      <c r="K335" s="843"/>
      <c r="L335" s="1157"/>
      <c r="M335" s="1158"/>
      <c r="N335" s="1158"/>
      <c r="O335" s="1158"/>
    </row>
    <row r="336" spans="1:15" x14ac:dyDescent="0.2">
      <c r="A336" s="75"/>
      <c r="B336" s="52">
        <f t="shared" si="7"/>
        <v>1</v>
      </c>
      <c r="C336" s="45"/>
      <c r="D336" s="1156"/>
      <c r="E336" s="1156"/>
      <c r="F336" s="1156"/>
      <c r="G336" s="1156"/>
      <c r="H336" s="1156"/>
      <c r="I336" s="468"/>
      <c r="J336" s="76"/>
      <c r="K336" s="843"/>
      <c r="L336" s="1157"/>
      <c r="M336" s="1158"/>
      <c r="N336" s="1158"/>
      <c r="O336" s="1158"/>
    </row>
    <row r="337" spans="1:15" x14ac:dyDescent="0.2">
      <c r="A337" s="75"/>
      <c r="B337" s="52">
        <f t="shared" si="7"/>
        <v>1</v>
      </c>
      <c r="C337" s="45"/>
      <c r="D337" s="1156"/>
      <c r="E337" s="1156"/>
      <c r="F337" s="1156"/>
      <c r="G337" s="1156"/>
      <c r="H337" s="1156"/>
      <c r="I337" s="468"/>
      <c r="J337" s="76"/>
      <c r="K337" s="843"/>
      <c r="L337" s="1157"/>
      <c r="M337" s="1158"/>
      <c r="N337" s="1158"/>
      <c r="O337" s="1158"/>
    </row>
    <row r="338" spans="1:15" x14ac:dyDescent="0.2">
      <c r="A338" s="75"/>
      <c r="B338" s="52">
        <f t="shared" si="7"/>
        <v>1</v>
      </c>
      <c r="C338" s="45"/>
      <c r="D338" s="1156"/>
      <c r="E338" s="1156"/>
      <c r="F338" s="1156"/>
      <c r="G338" s="1156"/>
      <c r="H338" s="1156"/>
      <c r="I338" s="468"/>
      <c r="J338" s="76"/>
      <c r="K338" s="843"/>
      <c r="L338" s="1157"/>
      <c r="M338" s="1158"/>
      <c r="N338" s="1158"/>
      <c r="O338" s="1158"/>
    </row>
    <row r="339" spans="1:15" x14ac:dyDescent="0.2">
      <c r="A339" s="75"/>
      <c r="B339" s="52">
        <f t="shared" si="7"/>
        <v>1</v>
      </c>
      <c r="C339" s="45"/>
      <c r="D339" s="1156"/>
      <c r="E339" s="1156"/>
      <c r="F339" s="1156"/>
      <c r="G339" s="1156"/>
      <c r="H339" s="1156"/>
      <c r="I339" s="468"/>
      <c r="J339" s="76"/>
      <c r="K339" s="843"/>
      <c r="L339" s="1157"/>
      <c r="M339" s="1158"/>
      <c r="N339" s="1158"/>
      <c r="O339" s="1158"/>
    </row>
    <row r="340" spans="1:15" x14ac:dyDescent="0.2">
      <c r="A340" s="75"/>
      <c r="B340" s="52">
        <f t="shared" si="7"/>
        <v>1</v>
      </c>
      <c r="C340" s="45"/>
      <c r="D340" s="1156"/>
      <c r="E340" s="1156"/>
      <c r="F340" s="1156"/>
      <c r="G340" s="1156"/>
      <c r="H340" s="1156"/>
      <c r="I340" s="468"/>
      <c r="J340" s="76"/>
      <c r="K340" s="843"/>
      <c r="L340" s="1157"/>
      <c r="M340" s="1158"/>
      <c r="N340" s="1158"/>
      <c r="O340" s="1158"/>
    </row>
    <row r="341" spans="1:15" x14ac:dyDescent="0.2">
      <c r="A341" s="75"/>
      <c r="B341" s="52">
        <f t="shared" si="7"/>
        <v>1</v>
      </c>
      <c r="C341" s="45"/>
      <c r="D341" s="1156"/>
      <c r="E341" s="1156"/>
      <c r="F341" s="1156"/>
      <c r="G341" s="1156"/>
      <c r="H341" s="1156"/>
      <c r="I341" s="468"/>
      <c r="J341" s="76"/>
      <c r="K341" s="843"/>
      <c r="L341" s="1157"/>
      <c r="M341" s="1158"/>
      <c r="N341" s="1158"/>
      <c r="O341" s="1158"/>
    </row>
    <row r="342" spans="1:15" x14ac:dyDescent="0.2">
      <c r="A342" s="75"/>
      <c r="B342" s="52">
        <f t="shared" si="7"/>
        <v>1</v>
      </c>
      <c r="C342" s="45"/>
      <c r="D342" s="1156"/>
      <c r="E342" s="1156"/>
      <c r="F342" s="1156"/>
      <c r="G342" s="1156"/>
      <c r="H342" s="1156"/>
      <c r="I342" s="468"/>
      <c r="J342" s="76"/>
      <c r="K342" s="843"/>
      <c r="L342" s="1157"/>
      <c r="M342" s="1158"/>
      <c r="N342" s="1158"/>
      <c r="O342" s="1158"/>
    </row>
    <row r="343" spans="1:15" x14ac:dyDescent="0.2">
      <c r="A343" s="75"/>
      <c r="B343" s="52">
        <f t="shared" si="7"/>
        <v>1</v>
      </c>
      <c r="C343" s="45"/>
      <c r="D343" s="1156"/>
      <c r="E343" s="1156"/>
      <c r="F343" s="1156"/>
      <c r="G343" s="1156"/>
      <c r="H343" s="1156"/>
      <c r="I343" s="468"/>
      <c r="J343" s="76"/>
      <c r="K343" s="843"/>
      <c r="L343" s="1157"/>
      <c r="M343" s="1158"/>
      <c r="N343" s="1158"/>
      <c r="O343" s="1158"/>
    </row>
    <row r="344" spans="1:15" x14ac:dyDescent="0.2">
      <c r="A344" s="75"/>
      <c r="B344" s="52">
        <f t="shared" si="7"/>
        <v>1</v>
      </c>
      <c r="C344" s="45"/>
      <c r="D344" s="1156"/>
      <c r="E344" s="1156"/>
      <c r="F344" s="1156"/>
      <c r="G344" s="1156"/>
      <c r="H344" s="1156"/>
      <c r="I344" s="468"/>
      <c r="J344" s="76"/>
      <c r="K344" s="843"/>
      <c r="L344" s="1157"/>
      <c r="M344" s="1158"/>
      <c r="N344" s="1158"/>
      <c r="O344" s="1158"/>
    </row>
    <row r="345" spans="1:15" x14ac:dyDescent="0.2">
      <c r="A345" s="75"/>
      <c r="B345" s="52">
        <f t="shared" si="7"/>
        <v>1</v>
      </c>
      <c r="C345" s="45"/>
      <c r="D345" s="1156"/>
      <c r="E345" s="1156"/>
      <c r="F345" s="1156"/>
      <c r="G345" s="1156"/>
      <c r="H345" s="1156"/>
      <c r="I345" s="468"/>
      <c r="J345" s="76"/>
      <c r="K345" s="843"/>
      <c r="L345" s="1157"/>
      <c r="M345" s="1158"/>
      <c r="N345" s="1158"/>
      <c r="O345" s="1158"/>
    </row>
    <row r="346" spans="1:15" x14ac:dyDescent="0.2">
      <c r="A346" s="75"/>
      <c r="B346" s="52">
        <f t="shared" si="7"/>
        <v>1</v>
      </c>
      <c r="C346" s="45"/>
      <c r="D346" s="1156"/>
      <c r="E346" s="1156"/>
      <c r="F346" s="1156"/>
      <c r="G346" s="1156"/>
      <c r="H346" s="1156"/>
      <c r="I346" s="468"/>
      <c r="J346" s="76"/>
      <c r="K346" s="843"/>
      <c r="L346" s="1157"/>
      <c r="M346" s="1158"/>
      <c r="N346" s="1158"/>
      <c r="O346" s="1158"/>
    </row>
    <row r="347" spans="1:15" x14ac:dyDescent="0.2">
      <c r="A347" s="75"/>
      <c r="B347" s="52">
        <f t="shared" si="7"/>
        <v>1</v>
      </c>
      <c r="C347" s="45"/>
      <c r="D347" s="1156"/>
      <c r="E347" s="1156"/>
      <c r="F347" s="1156"/>
      <c r="G347" s="1156"/>
      <c r="H347" s="1156"/>
      <c r="I347" s="468"/>
      <c r="J347" s="76"/>
      <c r="K347" s="843"/>
      <c r="L347" s="1157"/>
      <c r="M347" s="1158"/>
      <c r="N347" s="1158"/>
      <c r="O347" s="1158"/>
    </row>
    <row r="348" spans="1:15" x14ac:dyDescent="0.2">
      <c r="A348" s="75"/>
      <c r="B348" s="52">
        <f t="shared" si="7"/>
        <v>1</v>
      </c>
      <c r="C348" s="45"/>
      <c r="D348" s="1156"/>
      <c r="E348" s="1156"/>
      <c r="F348" s="1156"/>
      <c r="G348" s="1156"/>
      <c r="H348" s="1156"/>
      <c r="I348" s="468"/>
      <c r="J348" s="76"/>
      <c r="K348" s="843"/>
      <c r="L348" s="1157"/>
      <c r="M348" s="1158"/>
      <c r="N348" s="1158"/>
      <c r="O348" s="1158"/>
    </row>
    <row r="349" spans="1:15" x14ac:dyDescent="0.2">
      <c r="A349" s="75"/>
      <c r="B349" s="52">
        <f t="shared" si="7"/>
        <v>1</v>
      </c>
      <c r="C349" s="45"/>
      <c r="D349" s="1156"/>
      <c r="E349" s="1156"/>
      <c r="F349" s="1156"/>
      <c r="G349" s="1156"/>
      <c r="H349" s="1156"/>
      <c r="I349" s="468"/>
      <c r="J349" s="76"/>
      <c r="K349" s="843"/>
      <c r="L349" s="1157"/>
      <c r="M349" s="1158"/>
      <c r="N349" s="1158"/>
      <c r="O349" s="1158"/>
    </row>
    <row r="350" spans="1:15" x14ac:dyDescent="0.2">
      <c r="A350" s="75"/>
      <c r="B350" s="52">
        <f t="shared" si="7"/>
        <v>1</v>
      </c>
      <c r="C350" s="45"/>
      <c r="D350" s="1156"/>
      <c r="E350" s="1156"/>
      <c r="F350" s="1156"/>
      <c r="G350" s="1156"/>
      <c r="H350" s="1156"/>
      <c r="I350" s="468"/>
      <c r="J350" s="76"/>
      <c r="K350" s="843"/>
      <c r="L350" s="1157"/>
      <c r="M350" s="1158"/>
      <c r="N350" s="1158"/>
      <c r="O350" s="1158"/>
    </row>
    <row r="351" spans="1:15" x14ac:dyDescent="0.2">
      <c r="A351" s="75"/>
      <c r="B351" s="52">
        <f t="shared" si="7"/>
        <v>1</v>
      </c>
      <c r="C351" s="45"/>
      <c r="D351" s="1156"/>
      <c r="E351" s="1156"/>
      <c r="F351" s="1156"/>
      <c r="G351" s="1156"/>
      <c r="H351" s="1156"/>
      <c r="I351" s="468"/>
      <c r="J351" s="76"/>
      <c r="K351" s="843"/>
      <c r="L351" s="1157"/>
      <c r="M351" s="1158"/>
      <c r="N351" s="1158"/>
      <c r="O351" s="1158"/>
    </row>
    <row r="352" spans="1:15" x14ac:dyDescent="0.2">
      <c r="A352" s="75"/>
      <c r="B352" s="52">
        <f t="shared" si="7"/>
        <v>1</v>
      </c>
      <c r="C352" s="45"/>
      <c r="D352" s="1156"/>
      <c r="E352" s="1156"/>
      <c r="F352" s="1156"/>
      <c r="G352" s="1156"/>
      <c r="H352" s="1156"/>
      <c r="I352" s="468"/>
      <c r="J352" s="76"/>
      <c r="K352" s="843"/>
      <c r="L352" s="1157"/>
      <c r="M352" s="1158"/>
      <c r="N352" s="1158"/>
      <c r="O352" s="1158"/>
    </row>
    <row r="353" spans="1:15" x14ac:dyDescent="0.2">
      <c r="A353" s="75"/>
      <c r="B353" s="52">
        <f t="shared" si="7"/>
        <v>1</v>
      </c>
      <c r="C353" s="45"/>
      <c r="D353" s="1156"/>
      <c r="E353" s="1156"/>
      <c r="F353" s="1156"/>
      <c r="G353" s="1156"/>
      <c r="H353" s="1156"/>
      <c r="I353" s="468"/>
      <c r="J353" s="76"/>
      <c r="K353" s="843"/>
      <c r="L353" s="1157"/>
      <c r="M353" s="1158"/>
      <c r="N353" s="1158"/>
      <c r="O353" s="1158"/>
    </row>
    <row r="354" spans="1:15" x14ac:dyDescent="0.2">
      <c r="A354" s="75"/>
      <c r="B354" s="52">
        <f t="shared" si="7"/>
        <v>1</v>
      </c>
      <c r="C354" s="45"/>
      <c r="D354" s="1156"/>
      <c r="E354" s="1156"/>
      <c r="F354" s="1156"/>
      <c r="G354" s="1156"/>
      <c r="H354" s="1156"/>
      <c r="I354" s="468"/>
      <c r="J354" s="76"/>
      <c r="K354" s="843"/>
      <c r="L354" s="1157"/>
      <c r="M354" s="1158"/>
      <c r="N354" s="1158"/>
      <c r="O354" s="1158"/>
    </row>
    <row r="355" spans="1:15" x14ac:dyDescent="0.2">
      <c r="A355" s="75"/>
      <c r="B355" s="52">
        <f t="shared" si="7"/>
        <v>1</v>
      </c>
      <c r="C355" s="45"/>
      <c r="D355" s="1156"/>
      <c r="E355" s="1156"/>
      <c r="F355" s="1156"/>
      <c r="G355" s="1156"/>
      <c r="H355" s="1156"/>
      <c r="I355" s="468"/>
      <c r="J355" s="76"/>
      <c r="K355" s="843"/>
      <c r="L355" s="1157"/>
      <c r="M355" s="1158"/>
      <c r="N355" s="1158"/>
      <c r="O355" s="1158"/>
    </row>
    <row r="356" spans="1:15" x14ac:dyDescent="0.2">
      <c r="A356" s="75"/>
      <c r="B356" s="52">
        <f t="shared" si="7"/>
        <v>1</v>
      </c>
      <c r="C356" s="45"/>
      <c r="D356" s="1156"/>
      <c r="E356" s="1156"/>
      <c r="F356" s="1156"/>
      <c r="G356" s="1156"/>
      <c r="H356" s="1156"/>
      <c r="I356" s="468"/>
      <c r="J356" s="76"/>
      <c r="K356" s="843"/>
      <c r="L356" s="1157"/>
      <c r="M356" s="1158"/>
      <c r="N356" s="1158"/>
      <c r="O356" s="1158"/>
    </row>
    <row r="357" spans="1:15" x14ac:dyDescent="0.2">
      <c r="A357" s="75"/>
      <c r="B357" s="52">
        <f t="shared" si="7"/>
        <v>1</v>
      </c>
      <c r="C357" s="45"/>
      <c r="D357" s="1156"/>
      <c r="E357" s="1156"/>
      <c r="F357" s="1156"/>
      <c r="G357" s="1156"/>
      <c r="H357" s="1156"/>
      <c r="I357" s="468"/>
      <c r="J357" s="76"/>
      <c r="K357" s="843"/>
      <c r="L357" s="1157"/>
      <c r="M357" s="1158"/>
      <c r="N357" s="1158"/>
      <c r="O357" s="1158"/>
    </row>
    <row r="358" spans="1:15" x14ac:dyDescent="0.2">
      <c r="A358" s="75"/>
      <c r="B358" s="52">
        <f t="shared" si="7"/>
        <v>1</v>
      </c>
      <c r="C358" s="45"/>
      <c r="D358" s="1156"/>
      <c r="E358" s="1156"/>
      <c r="F358" s="1156"/>
      <c r="G358" s="1156"/>
      <c r="H358" s="1156"/>
      <c r="I358" s="468"/>
      <c r="J358" s="76"/>
      <c r="K358" s="843"/>
      <c r="L358" s="1157"/>
      <c r="M358" s="1158"/>
      <c r="N358" s="1158"/>
      <c r="O358" s="1158"/>
    </row>
    <row r="359" spans="1:15" x14ac:dyDescent="0.2">
      <c r="A359" s="75"/>
      <c r="B359" s="52">
        <f t="shared" si="7"/>
        <v>1</v>
      </c>
      <c r="C359" s="45"/>
      <c r="D359" s="1156"/>
      <c r="E359" s="1156"/>
      <c r="F359" s="1156"/>
      <c r="G359" s="1156"/>
      <c r="H359" s="1156"/>
      <c r="I359" s="468"/>
      <c r="J359" s="76"/>
      <c r="K359" s="843"/>
      <c r="L359" s="1157"/>
      <c r="M359" s="1158"/>
      <c r="N359" s="1158"/>
      <c r="O359" s="1158"/>
    </row>
    <row r="360" spans="1:15" x14ac:dyDescent="0.2">
      <c r="A360" s="75"/>
      <c r="B360" s="52">
        <f t="shared" si="7"/>
        <v>1</v>
      </c>
      <c r="C360" s="45"/>
      <c r="D360" s="1156"/>
      <c r="E360" s="1156"/>
      <c r="F360" s="1156"/>
      <c r="G360" s="1156"/>
      <c r="H360" s="1156"/>
      <c r="I360" s="468"/>
      <c r="J360" s="76"/>
      <c r="K360" s="843"/>
      <c r="L360" s="1157"/>
      <c r="M360" s="1158"/>
      <c r="N360" s="1158"/>
      <c r="O360" s="1158"/>
    </row>
    <row r="361" spans="1:15" x14ac:dyDescent="0.2">
      <c r="A361" s="75"/>
      <c r="B361" s="52">
        <f t="shared" si="7"/>
        <v>1</v>
      </c>
      <c r="C361" s="45"/>
      <c r="D361" s="1156"/>
      <c r="E361" s="1156"/>
      <c r="F361" s="1156"/>
      <c r="G361" s="1156"/>
      <c r="H361" s="1156"/>
      <c r="I361" s="468"/>
      <c r="J361" s="76"/>
      <c r="K361" s="843"/>
      <c r="L361" s="1157"/>
      <c r="M361" s="1158"/>
      <c r="N361" s="1158"/>
      <c r="O361" s="1158"/>
    </row>
    <row r="362" spans="1:15" x14ac:dyDescent="0.2">
      <c r="A362" s="75"/>
      <c r="B362" s="52">
        <f t="shared" si="7"/>
        <v>1</v>
      </c>
      <c r="C362" s="45"/>
      <c r="D362" s="1156"/>
      <c r="E362" s="1156"/>
      <c r="F362" s="1156"/>
      <c r="G362" s="1156"/>
      <c r="H362" s="1156"/>
      <c r="I362" s="468"/>
      <c r="J362" s="76"/>
      <c r="K362" s="843"/>
      <c r="L362" s="1157"/>
      <c r="M362" s="1158"/>
      <c r="N362" s="1158"/>
      <c r="O362" s="1158"/>
    </row>
    <row r="363" spans="1:15" x14ac:dyDescent="0.2">
      <c r="A363" s="75"/>
      <c r="B363" s="52">
        <f t="shared" si="7"/>
        <v>1</v>
      </c>
      <c r="C363" s="45"/>
      <c r="D363" s="1156"/>
      <c r="E363" s="1156"/>
      <c r="F363" s="1156"/>
      <c r="G363" s="1156"/>
      <c r="H363" s="1156"/>
      <c r="I363" s="468"/>
      <c r="J363" s="76"/>
      <c r="K363" s="843"/>
      <c r="L363" s="1157"/>
      <c r="M363" s="1158"/>
      <c r="N363" s="1158"/>
      <c r="O363" s="1158"/>
    </row>
    <row r="364" spans="1:15" x14ac:dyDescent="0.2">
      <c r="A364" s="75"/>
      <c r="B364" s="52">
        <f t="shared" si="7"/>
        <v>1</v>
      </c>
      <c r="C364" s="45"/>
      <c r="D364" s="1156"/>
      <c r="E364" s="1156"/>
      <c r="F364" s="1156"/>
      <c r="G364" s="1156"/>
      <c r="H364" s="1156"/>
      <c r="I364" s="468"/>
      <c r="J364" s="76"/>
      <c r="K364" s="843"/>
      <c r="L364" s="1157"/>
      <c r="M364" s="1158"/>
      <c r="N364" s="1158"/>
      <c r="O364" s="1158"/>
    </row>
    <row r="365" spans="1:15" x14ac:dyDescent="0.2">
      <c r="A365" s="75"/>
      <c r="B365" s="52">
        <f t="shared" si="7"/>
        <v>1</v>
      </c>
      <c r="C365" s="45"/>
      <c r="D365" s="1156"/>
      <c r="E365" s="1156"/>
      <c r="F365" s="1156"/>
      <c r="G365" s="1156"/>
      <c r="H365" s="1156"/>
      <c r="I365" s="468"/>
      <c r="J365" s="76"/>
      <c r="K365" s="843"/>
      <c r="L365" s="1157"/>
      <c r="M365" s="1158"/>
      <c r="N365" s="1158"/>
      <c r="O365" s="1158"/>
    </row>
    <row r="366" spans="1:15" x14ac:dyDescent="0.2">
      <c r="A366" s="75"/>
      <c r="B366" s="52">
        <f t="shared" si="7"/>
        <v>1</v>
      </c>
      <c r="C366" s="45"/>
      <c r="D366" s="1156"/>
      <c r="E366" s="1156"/>
      <c r="F366" s="1156"/>
      <c r="G366" s="1156"/>
      <c r="H366" s="1156"/>
      <c r="I366" s="468"/>
      <c r="J366" s="76"/>
      <c r="K366" s="843"/>
      <c r="L366" s="1157"/>
      <c r="M366" s="1158"/>
      <c r="N366" s="1158"/>
      <c r="O366" s="1158"/>
    </row>
    <row r="367" spans="1:15" x14ac:dyDescent="0.2">
      <c r="A367" s="75"/>
      <c r="B367" s="52">
        <f t="shared" si="7"/>
        <v>1</v>
      </c>
      <c r="C367" s="45"/>
      <c r="D367" s="1156"/>
      <c r="E367" s="1156"/>
      <c r="F367" s="1156"/>
      <c r="G367" s="1156"/>
      <c r="H367" s="1156"/>
      <c r="I367" s="468"/>
      <c r="J367" s="76"/>
      <c r="K367" s="843"/>
      <c r="L367" s="1157"/>
      <c r="M367" s="1158"/>
      <c r="N367" s="1158"/>
      <c r="O367" s="1158"/>
    </row>
    <row r="368" spans="1:15" x14ac:dyDescent="0.2">
      <c r="A368" s="75"/>
      <c r="B368" s="52">
        <f t="shared" si="7"/>
        <v>1</v>
      </c>
      <c r="C368" s="45"/>
      <c r="D368" s="1156"/>
      <c r="E368" s="1156"/>
      <c r="F368" s="1156"/>
      <c r="G368" s="1156"/>
      <c r="H368" s="1156"/>
      <c r="I368" s="468"/>
      <c r="J368" s="76"/>
      <c r="K368" s="843"/>
      <c r="L368" s="1157"/>
      <c r="M368" s="1158"/>
      <c r="N368" s="1158"/>
      <c r="O368" s="1158"/>
    </row>
    <row r="369" spans="1:15" x14ac:dyDescent="0.2">
      <c r="A369" s="75"/>
      <c r="B369" s="52">
        <f t="shared" si="7"/>
        <v>1</v>
      </c>
      <c r="C369" s="45"/>
      <c r="D369" s="1156"/>
      <c r="E369" s="1156"/>
      <c r="F369" s="1156"/>
      <c r="G369" s="1156"/>
      <c r="H369" s="1156"/>
      <c r="I369" s="468"/>
      <c r="J369" s="76"/>
      <c r="K369" s="843"/>
      <c r="L369" s="1157"/>
      <c r="M369" s="1158"/>
      <c r="N369" s="1158"/>
      <c r="O369" s="1158"/>
    </row>
    <row r="370" spans="1:15" x14ac:dyDescent="0.2">
      <c r="A370" s="75"/>
      <c r="B370" s="52">
        <f t="shared" si="7"/>
        <v>1</v>
      </c>
      <c r="C370" s="45"/>
      <c r="D370" s="1156"/>
      <c r="E370" s="1156"/>
      <c r="F370" s="1156"/>
      <c r="G370" s="1156"/>
      <c r="H370" s="1156"/>
      <c r="I370" s="468"/>
      <c r="J370" s="76"/>
      <c r="K370" s="843"/>
      <c r="L370" s="1157"/>
      <c r="M370" s="1158"/>
      <c r="N370" s="1158"/>
      <c r="O370" s="1158"/>
    </row>
    <row r="371" spans="1:15" x14ac:dyDescent="0.2">
      <c r="A371" s="75"/>
      <c r="B371" s="52">
        <f t="shared" si="7"/>
        <v>1</v>
      </c>
      <c r="C371" s="45"/>
      <c r="D371" s="1156"/>
      <c r="E371" s="1156"/>
      <c r="F371" s="1156"/>
      <c r="G371" s="1156"/>
      <c r="H371" s="1156"/>
      <c r="I371" s="468"/>
      <c r="J371" s="76"/>
      <c r="K371" s="843"/>
      <c r="L371" s="1157"/>
      <c r="M371" s="1158"/>
      <c r="N371" s="1158"/>
      <c r="O371" s="1158"/>
    </row>
    <row r="372" spans="1:15" x14ac:dyDescent="0.2">
      <c r="A372" s="75"/>
      <c r="B372" s="52">
        <f t="shared" si="7"/>
        <v>1</v>
      </c>
      <c r="C372" s="45"/>
      <c r="D372" s="1156"/>
      <c r="E372" s="1156"/>
      <c r="F372" s="1156"/>
      <c r="G372" s="1156"/>
      <c r="H372" s="1156"/>
      <c r="I372" s="468"/>
      <c r="J372" s="76"/>
      <c r="K372" s="843"/>
      <c r="L372" s="1157"/>
      <c r="M372" s="1158"/>
      <c r="N372" s="1158"/>
      <c r="O372" s="1158"/>
    </row>
    <row r="373" spans="1:15" x14ac:dyDescent="0.2">
      <c r="A373" s="75"/>
      <c r="B373" s="52">
        <f t="shared" si="7"/>
        <v>1</v>
      </c>
      <c r="C373" s="45"/>
      <c r="D373" s="1156"/>
      <c r="E373" s="1156"/>
      <c r="F373" s="1156"/>
      <c r="G373" s="1156"/>
      <c r="H373" s="1156"/>
      <c r="I373" s="468"/>
      <c r="J373" s="76"/>
      <c r="K373" s="843"/>
      <c r="L373" s="1157"/>
      <c r="M373" s="1158"/>
      <c r="N373" s="1158"/>
      <c r="O373" s="1158"/>
    </row>
    <row r="374" spans="1:15" x14ac:dyDescent="0.2">
      <c r="A374" s="75"/>
      <c r="B374" s="52">
        <f t="shared" si="7"/>
        <v>1</v>
      </c>
      <c r="C374" s="45"/>
      <c r="D374" s="1156"/>
      <c r="E374" s="1156"/>
      <c r="F374" s="1156"/>
      <c r="G374" s="1156"/>
      <c r="H374" s="1156"/>
      <c r="I374" s="468"/>
      <c r="J374" s="76"/>
      <c r="K374" s="843"/>
      <c r="L374" s="1157"/>
      <c r="M374" s="1158"/>
      <c r="N374" s="1158"/>
      <c r="O374" s="1158"/>
    </row>
    <row r="375" spans="1:15" x14ac:dyDescent="0.2">
      <c r="A375" s="75"/>
      <c r="B375" s="52">
        <f t="shared" si="7"/>
        <v>1</v>
      </c>
      <c r="C375" s="45"/>
      <c r="D375" s="1156"/>
      <c r="E375" s="1156"/>
      <c r="F375" s="1156"/>
      <c r="G375" s="1156"/>
      <c r="H375" s="1156"/>
      <c r="I375" s="468"/>
      <c r="J375" s="76"/>
      <c r="K375" s="843"/>
      <c r="L375" s="1157"/>
      <c r="M375" s="1158"/>
      <c r="N375" s="1158"/>
      <c r="O375" s="1158"/>
    </row>
    <row r="376" spans="1:15" x14ac:dyDescent="0.2">
      <c r="A376" s="75"/>
      <c r="B376" s="52">
        <f t="shared" si="7"/>
        <v>1</v>
      </c>
      <c r="C376" s="45"/>
      <c r="D376" s="1156"/>
      <c r="E376" s="1156"/>
      <c r="F376" s="1156"/>
      <c r="G376" s="1156"/>
      <c r="H376" s="1156"/>
      <c r="I376" s="468"/>
      <c r="J376" s="76"/>
      <c r="K376" s="843"/>
      <c r="L376" s="1157"/>
      <c r="M376" s="1158"/>
      <c r="N376" s="1158"/>
      <c r="O376" s="1158"/>
    </row>
    <row r="377" spans="1:15" x14ac:dyDescent="0.2">
      <c r="A377" s="75"/>
      <c r="B377" s="52">
        <f t="shared" si="7"/>
        <v>1</v>
      </c>
      <c r="C377" s="45"/>
      <c r="D377" s="1156"/>
      <c r="E377" s="1156"/>
      <c r="F377" s="1156"/>
      <c r="G377" s="1156"/>
      <c r="H377" s="1156"/>
      <c r="I377" s="468"/>
      <c r="J377" s="76"/>
      <c r="K377" s="843"/>
      <c r="L377" s="1157"/>
      <c r="M377" s="1158"/>
      <c r="N377" s="1158"/>
      <c r="O377" s="1158"/>
    </row>
    <row r="378" spans="1:15" x14ac:dyDescent="0.2">
      <c r="A378" s="75"/>
      <c r="B378" s="52">
        <f t="shared" si="7"/>
        <v>1</v>
      </c>
      <c r="C378" s="45"/>
      <c r="D378" s="1156"/>
      <c r="E378" s="1156"/>
      <c r="F378" s="1156"/>
      <c r="G378" s="1156"/>
      <c r="H378" s="1156"/>
      <c r="I378" s="468"/>
      <c r="J378" s="76"/>
      <c r="K378" s="843"/>
      <c r="L378" s="1157"/>
      <c r="M378" s="1158"/>
      <c r="N378" s="1158"/>
      <c r="O378" s="1158"/>
    </row>
    <row r="379" spans="1:15" x14ac:dyDescent="0.2">
      <c r="A379" s="75"/>
      <c r="B379" s="52">
        <f t="shared" si="7"/>
        <v>1</v>
      </c>
      <c r="C379" s="45"/>
      <c r="D379" s="1156"/>
      <c r="E379" s="1156"/>
      <c r="F379" s="1156"/>
      <c r="G379" s="1156"/>
      <c r="H379" s="1156"/>
      <c r="I379" s="468"/>
      <c r="J379" s="76"/>
      <c r="K379" s="843"/>
      <c r="L379" s="1157"/>
      <c r="M379" s="1158"/>
      <c r="N379" s="1158"/>
      <c r="O379" s="1158"/>
    </row>
    <row r="380" spans="1:15" x14ac:dyDescent="0.2">
      <c r="A380" s="75"/>
      <c r="B380" s="52">
        <f t="shared" si="7"/>
        <v>1</v>
      </c>
      <c r="C380" s="45"/>
      <c r="D380" s="1156"/>
      <c r="E380" s="1156"/>
      <c r="F380" s="1156"/>
      <c r="G380" s="1156"/>
      <c r="H380" s="1156"/>
      <c r="I380" s="468"/>
      <c r="J380" s="76"/>
      <c r="K380" s="843"/>
      <c r="L380" s="1157"/>
      <c r="M380" s="1158"/>
      <c r="N380" s="1158"/>
      <c r="O380" s="1158"/>
    </row>
    <row r="381" spans="1:15" x14ac:dyDescent="0.2">
      <c r="A381" s="75"/>
      <c r="B381" s="52">
        <f t="shared" si="7"/>
        <v>1</v>
      </c>
      <c r="C381" s="45"/>
      <c r="D381" s="1156"/>
      <c r="E381" s="1156"/>
      <c r="F381" s="1156"/>
      <c r="G381" s="1156"/>
      <c r="H381" s="1156"/>
      <c r="I381" s="468"/>
      <c r="J381" s="76"/>
      <c r="K381" s="843"/>
      <c r="L381" s="1157"/>
      <c r="M381" s="1158"/>
      <c r="N381" s="1158"/>
      <c r="O381" s="1158"/>
    </row>
    <row r="382" spans="1:15" x14ac:dyDescent="0.2">
      <c r="A382" s="75"/>
      <c r="B382" s="52">
        <f t="shared" si="7"/>
        <v>1</v>
      </c>
      <c r="C382" s="45"/>
      <c r="D382" s="1156"/>
      <c r="E382" s="1156"/>
      <c r="F382" s="1156"/>
      <c r="G382" s="1156"/>
      <c r="H382" s="1156"/>
      <c r="I382" s="468"/>
      <c r="J382" s="76"/>
      <c r="K382" s="843"/>
      <c r="L382" s="1157"/>
      <c r="M382" s="1158"/>
      <c r="N382" s="1158"/>
      <c r="O382" s="1158"/>
    </row>
    <row r="383" spans="1:15" x14ac:dyDescent="0.2">
      <c r="A383" s="75"/>
      <c r="B383" s="52">
        <f t="shared" si="7"/>
        <v>1</v>
      </c>
      <c r="C383" s="45"/>
      <c r="D383" s="1156"/>
      <c r="E383" s="1156"/>
      <c r="F383" s="1156"/>
      <c r="G383" s="1156"/>
      <c r="H383" s="1156"/>
      <c r="I383" s="468"/>
      <c r="J383" s="76"/>
      <c r="K383" s="843"/>
      <c r="L383" s="1157"/>
      <c r="M383" s="1158"/>
      <c r="N383" s="1158"/>
      <c r="O383" s="1158"/>
    </row>
    <row r="384" spans="1:15" x14ac:dyDescent="0.2">
      <c r="A384" s="75"/>
      <c r="B384" s="52">
        <f t="shared" si="7"/>
        <v>1</v>
      </c>
      <c r="C384" s="45"/>
      <c r="D384" s="1156"/>
      <c r="E384" s="1156"/>
      <c r="F384" s="1156"/>
      <c r="G384" s="1156"/>
      <c r="H384" s="1156"/>
      <c r="I384" s="468"/>
      <c r="J384" s="76"/>
      <c r="K384" s="843"/>
      <c r="L384" s="1157"/>
      <c r="M384" s="1158"/>
      <c r="N384" s="1158"/>
      <c r="O384" s="1158"/>
    </row>
    <row r="385" spans="1:15" x14ac:dyDescent="0.2">
      <c r="A385" s="75"/>
      <c r="B385" s="52">
        <f t="shared" si="7"/>
        <v>1</v>
      </c>
      <c r="C385" s="45"/>
      <c r="D385" s="1156"/>
      <c r="E385" s="1156"/>
      <c r="F385" s="1156"/>
      <c r="G385" s="1156"/>
      <c r="H385" s="1156"/>
      <c r="I385" s="468"/>
      <c r="J385" s="76"/>
      <c r="K385" s="843"/>
      <c r="L385" s="1157"/>
      <c r="M385" s="1158"/>
      <c r="N385" s="1158"/>
      <c r="O385" s="1158"/>
    </row>
    <row r="386" spans="1:15" x14ac:dyDescent="0.2">
      <c r="A386" s="75"/>
      <c r="B386" s="52">
        <f t="shared" si="7"/>
        <v>1</v>
      </c>
      <c r="C386" s="45"/>
      <c r="D386" s="1156"/>
      <c r="E386" s="1156"/>
      <c r="F386" s="1156"/>
      <c r="G386" s="1156"/>
      <c r="H386" s="1156"/>
      <c r="I386" s="468"/>
      <c r="J386" s="76"/>
      <c r="K386" s="843"/>
      <c r="L386" s="1157"/>
      <c r="M386" s="1158"/>
      <c r="N386" s="1158"/>
      <c r="O386" s="1158"/>
    </row>
    <row r="387" spans="1:15" x14ac:dyDescent="0.2">
      <c r="A387" s="75"/>
      <c r="B387" s="52">
        <f t="shared" si="7"/>
        <v>1</v>
      </c>
      <c r="C387" s="45"/>
      <c r="D387" s="1156"/>
      <c r="E387" s="1156"/>
      <c r="F387" s="1156"/>
      <c r="G387" s="1156"/>
      <c r="H387" s="1156"/>
      <c r="I387" s="468"/>
      <c r="J387" s="76"/>
      <c r="K387" s="843"/>
      <c r="L387" s="1157"/>
      <c r="M387" s="1158"/>
      <c r="N387" s="1158"/>
      <c r="O387" s="1158"/>
    </row>
    <row r="388" spans="1:15" x14ac:dyDescent="0.2">
      <c r="A388" s="75"/>
      <c r="B388" s="52">
        <f t="shared" si="7"/>
        <v>1</v>
      </c>
      <c r="C388" s="45"/>
      <c r="D388" s="1156"/>
      <c r="E388" s="1156"/>
      <c r="F388" s="1156"/>
      <c r="G388" s="1156"/>
      <c r="H388" s="1156"/>
      <c r="I388" s="468"/>
      <c r="J388" s="76"/>
      <c r="K388" s="843"/>
      <c r="L388" s="1157"/>
      <c r="M388" s="1158"/>
      <c r="N388" s="1158"/>
      <c r="O388" s="1158"/>
    </row>
    <row r="389" spans="1:15" x14ac:dyDescent="0.2">
      <c r="A389" s="75"/>
      <c r="B389" s="52">
        <f t="shared" si="7"/>
        <v>1</v>
      </c>
      <c r="C389" s="45"/>
      <c r="D389" s="1156"/>
      <c r="E389" s="1156"/>
      <c r="F389" s="1156"/>
      <c r="G389" s="1156"/>
      <c r="H389" s="1156"/>
      <c r="I389" s="468"/>
      <c r="J389" s="76"/>
      <c r="K389" s="843"/>
      <c r="L389" s="1157"/>
      <c r="M389" s="1158"/>
      <c r="N389" s="1158"/>
      <c r="O389" s="1158"/>
    </row>
    <row r="390" spans="1:15" x14ac:dyDescent="0.2">
      <c r="A390" s="75"/>
      <c r="B390" s="52">
        <f t="shared" si="7"/>
        <v>1</v>
      </c>
      <c r="C390" s="45"/>
      <c r="D390" s="1156"/>
      <c r="E390" s="1156"/>
      <c r="F390" s="1156"/>
      <c r="G390" s="1156"/>
      <c r="H390" s="1156"/>
      <c r="I390" s="468"/>
      <c r="J390" s="76"/>
      <c r="K390" s="843"/>
      <c r="L390" s="1157"/>
      <c r="M390" s="1158"/>
      <c r="N390" s="1158"/>
      <c r="O390" s="1158"/>
    </row>
    <row r="391" spans="1:15" x14ac:dyDescent="0.2">
      <c r="A391" s="75"/>
      <c r="B391" s="52">
        <f t="shared" si="7"/>
        <v>1</v>
      </c>
      <c r="C391" s="45"/>
      <c r="D391" s="1156"/>
      <c r="E391" s="1156"/>
      <c r="F391" s="1156"/>
      <c r="G391" s="1156"/>
      <c r="H391" s="1156"/>
      <c r="I391" s="468"/>
      <c r="J391" s="76"/>
      <c r="K391" s="843"/>
      <c r="L391" s="1157"/>
      <c r="M391" s="1158"/>
      <c r="N391" s="1158"/>
      <c r="O391" s="1158"/>
    </row>
    <row r="392" spans="1:15" x14ac:dyDescent="0.2">
      <c r="A392" s="75"/>
      <c r="B392" s="52">
        <f t="shared" si="7"/>
        <v>1</v>
      </c>
      <c r="C392" s="45"/>
      <c r="D392" s="1156"/>
      <c r="E392" s="1156"/>
      <c r="F392" s="1156"/>
      <c r="G392" s="1156"/>
      <c r="H392" s="1156"/>
      <c r="I392" s="468"/>
      <c r="J392" s="76"/>
      <c r="K392" s="843"/>
      <c r="L392" s="1157"/>
      <c r="M392" s="1158"/>
      <c r="N392" s="1158"/>
      <c r="O392" s="1158"/>
    </row>
    <row r="393" spans="1:15" x14ac:dyDescent="0.2">
      <c r="A393" s="75"/>
      <c r="B393" s="52">
        <f t="shared" si="7"/>
        <v>1</v>
      </c>
      <c r="C393" s="45"/>
      <c r="D393" s="1156"/>
      <c r="E393" s="1156"/>
      <c r="F393" s="1156"/>
      <c r="G393" s="1156"/>
      <c r="H393" s="1156"/>
      <c r="I393" s="468"/>
      <c r="J393" s="76"/>
      <c r="K393" s="843"/>
      <c r="L393" s="1157"/>
      <c r="M393" s="1158"/>
      <c r="N393" s="1158"/>
      <c r="O393" s="1158"/>
    </row>
    <row r="394" spans="1:15" x14ac:dyDescent="0.2">
      <c r="A394" s="75"/>
      <c r="B394" s="52">
        <f t="shared" si="7"/>
        <v>1</v>
      </c>
      <c r="C394" s="45"/>
      <c r="D394" s="1156"/>
      <c r="E394" s="1156"/>
      <c r="F394" s="1156"/>
      <c r="G394" s="1156"/>
      <c r="H394" s="1156"/>
      <c r="I394" s="468"/>
      <c r="J394" s="76"/>
      <c r="K394" s="843"/>
      <c r="L394" s="1157"/>
      <c r="M394" s="1158"/>
      <c r="N394" s="1158"/>
      <c r="O394" s="1158"/>
    </row>
    <row r="395" spans="1:15" x14ac:dyDescent="0.2">
      <c r="A395" s="75"/>
      <c r="B395" s="52">
        <f t="shared" si="7"/>
        <v>1</v>
      </c>
      <c r="C395" s="45"/>
      <c r="D395" s="1156"/>
      <c r="E395" s="1156"/>
      <c r="F395" s="1156"/>
      <c r="G395" s="1156"/>
      <c r="H395" s="1156"/>
      <c r="I395" s="468"/>
      <c r="J395" s="76"/>
      <c r="K395" s="843"/>
      <c r="L395" s="1157"/>
      <c r="M395" s="1158"/>
      <c r="N395" s="1158"/>
      <c r="O395" s="1158"/>
    </row>
    <row r="396" spans="1:15" x14ac:dyDescent="0.2">
      <c r="A396" s="75"/>
      <c r="B396" s="52">
        <f t="shared" si="7"/>
        <v>1</v>
      </c>
      <c r="C396" s="45"/>
      <c r="D396" s="1156"/>
      <c r="E396" s="1156"/>
      <c r="F396" s="1156"/>
      <c r="G396" s="1156"/>
      <c r="H396" s="1156"/>
      <c r="I396" s="468"/>
      <c r="J396" s="76"/>
      <c r="K396" s="843"/>
      <c r="L396" s="1157"/>
      <c r="M396" s="1158"/>
      <c r="N396" s="1158"/>
      <c r="O396" s="1158"/>
    </row>
    <row r="397" spans="1:15" x14ac:dyDescent="0.2">
      <c r="A397" s="75"/>
      <c r="B397" s="52">
        <f t="shared" si="7"/>
        <v>1</v>
      </c>
      <c r="C397" s="45"/>
      <c r="D397" s="1156"/>
      <c r="E397" s="1156"/>
      <c r="F397" s="1156"/>
      <c r="G397" s="1156"/>
      <c r="H397" s="1156"/>
      <c r="I397" s="468"/>
      <c r="J397" s="76"/>
      <c r="K397" s="843"/>
      <c r="L397" s="1157"/>
      <c r="M397" s="1158"/>
      <c r="N397" s="1158"/>
      <c r="O397" s="1158"/>
    </row>
    <row r="398" spans="1:15" x14ac:dyDescent="0.2">
      <c r="A398" s="75"/>
      <c r="B398" s="52">
        <f t="shared" ref="B398:B461" si="8">MONTH(A398)</f>
        <v>1</v>
      </c>
      <c r="C398" s="45"/>
      <c r="D398" s="1156"/>
      <c r="E398" s="1156"/>
      <c r="F398" s="1156"/>
      <c r="G398" s="1156"/>
      <c r="H398" s="1156"/>
      <c r="I398" s="468"/>
      <c r="J398" s="76"/>
      <c r="K398" s="843"/>
      <c r="L398" s="1157"/>
      <c r="M398" s="1158"/>
      <c r="N398" s="1158"/>
      <c r="O398" s="1158"/>
    </row>
    <row r="399" spans="1:15" x14ac:dyDescent="0.2">
      <c r="A399" s="75"/>
      <c r="B399" s="52">
        <f t="shared" si="8"/>
        <v>1</v>
      </c>
      <c r="C399" s="45"/>
      <c r="D399" s="1156"/>
      <c r="E399" s="1156"/>
      <c r="F399" s="1156"/>
      <c r="G399" s="1156"/>
      <c r="H399" s="1156"/>
      <c r="I399" s="468"/>
      <c r="J399" s="76"/>
      <c r="K399" s="843"/>
      <c r="L399" s="1157"/>
      <c r="M399" s="1158"/>
      <c r="N399" s="1158"/>
      <c r="O399" s="1158"/>
    </row>
    <row r="400" spans="1:15" x14ac:dyDescent="0.2">
      <c r="A400" s="75"/>
      <c r="B400" s="52">
        <f t="shared" si="8"/>
        <v>1</v>
      </c>
      <c r="C400" s="45"/>
      <c r="D400" s="1156"/>
      <c r="E400" s="1156"/>
      <c r="F400" s="1156"/>
      <c r="G400" s="1156"/>
      <c r="H400" s="1156"/>
      <c r="I400" s="468"/>
      <c r="J400" s="76"/>
      <c r="K400" s="843"/>
      <c r="L400" s="1157"/>
      <c r="M400" s="1158"/>
      <c r="N400" s="1158"/>
      <c r="O400" s="1158"/>
    </row>
    <row r="401" spans="1:15" x14ac:dyDescent="0.2">
      <c r="A401" s="75"/>
      <c r="B401" s="52">
        <f t="shared" si="8"/>
        <v>1</v>
      </c>
      <c r="C401" s="45"/>
      <c r="D401" s="1156"/>
      <c r="E401" s="1156"/>
      <c r="F401" s="1156"/>
      <c r="G401" s="1156"/>
      <c r="H401" s="1156"/>
      <c r="I401" s="468"/>
      <c r="J401" s="76"/>
      <c r="K401" s="843"/>
      <c r="L401" s="1157"/>
      <c r="M401" s="1158"/>
      <c r="N401" s="1158"/>
      <c r="O401" s="1158"/>
    </row>
    <row r="402" spans="1:15" x14ac:dyDescent="0.2">
      <c r="A402" s="75"/>
      <c r="B402" s="52">
        <f t="shared" si="8"/>
        <v>1</v>
      </c>
      <c r="C402" s="45"/>
      <c r="D402" s="1156"/>
      <c r="E402" s="1156"/>
      <c r="F402" s="1156"/>
      <c r="G402" s="1156"/>
      <c r="H402" s="1156"/>
      <c r="I402" s="468"/>
      <c r="J402" s="76"/>
      <c r="K402" s="843"/>
      <c r="L402" s="1157"/>
      <c r="M402" s="1158"/>
      <c r="N402" s="1158"/>
      <c r="O402" s="1158"/>
    </row>
    <row r="403" spans="1:15" x14ac:dyDescent="0.2">
      <c r="A403" s="75"/>
      <c r="B403" s="52">
        <f t="shared" si="8"/>
        <v>1</v>
      </c>
      <c r="C403" s="45"/>
      <c r="D403" s="1156"/>
      <c r="E403" s="1156"/>
      <c r="F403" s="1156"/>
      <c r="G403" s="1156"/>
      <c r="H403" s="1156"/>
      <c r="I403" s="468"/>
      <c r="J403" s="76"/>
      <c r="K403" s="843"/>
      <c r="L403" s="1157"/>
      <c r="M403" s="1158"/>
      <c r="N403" s="1158"/>
      <c r="O403" s="1158"/>
    </row>
    <row r="404" spans="1:15" x14ac:dyDescent="0.2">
      <c r="A404" s="75"/>
      <c r="B404" s="52">
        <f t="shared" si="8"/>
        <v>1</v>
      </c>
      <c r="C404" s="45"/>
      <c r="D404" s="1156"/>
      <c r="E404" s="1156"/>
      <c r="F404" s="1156"/>
      <c r="G404" s="1156"/>
      <c r="H404" s="1156"/>
      <c r="I404" s="468"/>
      <c r="J404" s="76"/>
      <c r="K404" s="843"/>
      <c r="L404" s="1157"/>
      <c r="M404" s="1158"/>
      <c r="N404" s="1158"/>
      <c r="O404" s="1158"/>
    </row>
    <row r="405" spans="1:15" x14ac:dyDescent="0.2">
      <c r="A405" s="75"/>
      <c r="B405" s="52">
        <f t="shared" si="8"/>
        <v>1</v>
      </c>
      <c r="C405" s="45"/>
      <c r="D405" s="1156"/>
      <c r="E405" s="1156"/>
      <c r="F405" s="1156"/>
      <c r="G405" s="1156"/>
      <c r="H405" s="1156"/>
      <c r="I405" s="468"/>
      <c r="J405" s="76"/>
      <c r="K405" s="843"/>
      <c r="L405" s="1157"/>
      <c r="M405" s="1158"/>
      <c r="N405" s="1158"/>
      <c r="O405" s="1158"/>
    </row>
    <row r="406" spans="1:15" x14ac:dyDescent="0.2">
      <c r="A406" s="75"/>
      <c r="B406" s="52">
        <f t="shared" si="8"/>
        <v>1</v>
      </c>
      <c r="C406" s="45"/>
      <c r="D406" s="1156"/>
      <c r="E406" s="1156"/>
      <c r="F406" s="1156"/>
      <c r="G406" s="1156"/>
      <c r="H406" s="1156"/>
      <c r="I406" s="468"/>
      <c r="J406" s="76"/>
      <c r="K406" s="843"/>
      <c r="L406" s="1157"/>
      <c r="M406" s="1158"/>
      <c r="N406" s="1158"/>
      <c r="O406" s="1158"/>
    </row>
    <row r="407" spans="1:15" x14ac:dyDescent="0.2">
      <c r="A407" s="75"/>
      <c r="B407" s="52">
        <f t="shared" si="8"/>
        <v>1</v>
      </c>
      <c r="C407" s="45"/>
      <c r="D407" s="1156"/>
      <c r="E407" s="1156"/>
      <c r="F407" s="1156"/>
      <c r="G407" s="1156"/>
      <c r="H407" s="1156"/>
      <c r="I407" s="468"/>
      <c r="J407" s="76"/>
      <c r="K407" s="843"/>
      <c r="L407" s="1157"/>
      <c r="M407" s="1158"/>
      <c r="N407" s="1158"/>
      <c r="O407" s="1158"/>
    </row>
    <row r="408" spans="1:15" x14ac:dyDescent="0.2">
      <c r="A408" s="75"/>
      <c r="B408" s="52">
        <f t="shared" si="8"/>
        <v>1</v>
      </c>
      <c r="C408" s="45"/>
      <c r="D408" s="1156"/>
      <c r="E408" s="1156"/>
      <c r="F408" s="1156"/>
      <c r="G408" s="1156"/>
      <c r="H408" s="1156"/>
      <c r="I408" s="468"/>
      <c r="J408" s="76"/>
      <c r="K408" s="843"/>
      <c r="L408" s="1157"/>
      <c r="M408" s="1158"/>
      <c r="N408" s="1158"/>
      <c r="O408" s="1158"/>
    </row>
    <row r="409" spans="1:15" x14ac:dyDescent="0.2">
      <c r="A409" s="75"/>
      <c r="B409" s="52">
        <f t="shared" si="8"/>
        <v>1</v>
      </c>
      <c r="C409" s="45"/>
      <c r="D409" s="1156"/>
      <c r="E409" s="1156"/>
      <c r="F409" s="1156"/>
      <c r="G409" s="1156"/>
      <c r="H409" s="1156"/>
      <c r="I409" s="468"/>
      <c r="J409" s="76"/>
      <c r="K409" s="843"/>
      <c r="L409" s="1157"/>
      <c r="M409" s="1158"/>
      <c r="N409" s="1158"/>
      <c r="O409" s="1158"/>
    </row>
    <row r="410" spans="1:15" x14ac:dyDescent="0.2">
      <c r="A410" s="75"/>
      <c r="B410" s="52">
        <f t="shared" si="8"/>
        <v>1</v>
      </c>
      <c r="C410" s="45"/>
      <c r="D410" s="1156"/>
      <c r="E410" s="1156"/>
      <c r="F410" s="1156"/>
      <c r="G410" s="1156"/>
      <c r="H410" s="1156"/>
      <c r="I410" s="468"/>
      <c r="J410" s="76"/>
      <c r="K410" s="843"/>
      <c r="L410" s="1157"/>
      <c r="M410" s="1158"/>
      <c r="N410" s="1158"/>
      <c r="O410" s="1158"/>
    </row>
    <row r="411" spans="1:15" x14ac:dyDescent="0.2">
      <c r="A411" s="75"/>
      <c r="B411" s="52">
        <f t="shared" si="8"/>
        <v>1</v>
      </c>
      <c r="C411" s="45"/>
      <c r="D411" s="1156"/>
      <c r="E411" s="1156"/>
      <c r="F411" s="1156"/>
      <c r="G411" s="1156"/>
      <c r="H411" s="1156"/>
      <c r="I411" s="468"/>
      <c r="J411" s="76"/>
      <c r="K411" s="843"/>
      <c r="L411" s="1157"/>
      <c r="M411" s="1158"/>
      <c r="N411" s="1158"/>
      <c r="O411" s="1158"/>
    </row>
    <row r="412" spans="1:15" x14ac:dyDescent="0.2">
      <c r="A412" s="75"/>
      <c r="B412" s="52">
        <f t="shared" si="8"/>
        <v>1</v>
      </c>
      <c r="C412" s="45"/>
      <c r="D412" s="1156"/>
      <c r="E412" s="1156"/>
      <c r="F412" s="1156"/>
      <c r="G412" s="1156"/>
      <c r="H412" s="1156"/>
      <c r="I412" s="468"/>
      <c r="J412" s="76"/>
      <c r="K412" s="843"/>
      <c r="L412" s="1157"/>
      <c r="M412" s="1158"/>
      <c r="N412" s="1158"/>
      <c r="O412" s="1158"/>
    </row>
    <row r="413" spans="1:15" x14ac:dyDescent="0.2">
      <c r="A413" s="75"/>
      <c r="B413" s="52">
        <f t="shared" si="8"/>
        <v>1</v>
      </c>
      <c r="C413" s="45"/>
      <c r="D413" s="1156"/>
      <c r="E413" s="1156"/>
      <c r="F413" s="1156"/>
      <c r="G413" s="1156"/>
      <c r="H413" s="1156"/>
      <c r="I413" s="468"/>
      <c r="J413" s="76"/>
      <c r="K413" s="843"/>
      <c r="L413" s="1157"/>
      <c r="M413" s="1158"/>
      <c r="N413" s="1158"/>
      <c r="O413" s="1158"/>
    </row>
    <row r="414" spans="1:15" x14ac:dyDescent="0.2">
      <c r="A414" s="75"/>
      <c r="B414" s="52">
        <f t="shared" si="8"/>
        <v>1</v>
      </c>
      <c r="C414" s="45"/>
      <c r="D414" s="1156"/>
      <c r="E414" s="1156"/>
      <c r="F414" s="1156"/>
      <c r="G414" s="1156"/>
      <c r="H414" s="1156"/>
      <c r="I414" s="468"/>
      <c r="J414" s="76"/>
      <c r="K414" s="843"/>
      <c r="L414" s="1157"/>
      <c r="M414" s="1158"/>
      <c r="N414" s="1158"/>
      <c r="O414" s="1158"/>
    </row>
    <row r="415" spans="1:15" x14ac:dyDescent="0.2">
      <c r="A415" s="75"/>
      <c r="B415" s="52">
        <f t="shared" si="8"/>
        <v>1</v>
      </c>
      <c r="C415" s="45"/>
      <c r="D415" s="1156"/>
      <c r="E415" s="1156"/>
      <c r="F415" s="1156"/>
      <c r="G415" s="1156"/>
      <c r="H415" s="1156"/>
      <c r="I415" s="468"/>
      <c r="J415" s="76"/>
      <c r="K415" s="843"/>
      <c r="L415" s="1157"/>
      <c r="M415" s="1158"/>
      <c r="N415" s="1158"/>
      <c r="O415" s="1158"/>
    </row>
    <row r="416" spans="1:15" x14ac:dyDescent="0.2">
      <c r="A416" s="75"/>
      <c r="B416" s="52">
        <f t="shared" si="8"/>
        <v>1</v>
      </c>
      <c r="C416" s="45"/>
      <c r="D416" s="1156"/>
      <c r="E416" s="1156"/>
      <c r="F416" s="1156"/>
      <c r="G416" s="1156"/>
      <c r="H416" s="1156"/>
      <c r="I416" s="468"/>
      <c r="J416" s="76"/>
      <c r="K416" s="843"/>
      <c r="L416" s="1157"/>
      <c r="M416" s="1158"/>
      <c r="N416" s="1158"/>
      <c r="O416" s="1158"/>
    </row>
    <row r="417" spans="1:15" x14ac:dyDescent="0.2">
      <c r="A417" s="75"/>
      <c r="B417" s="52">
        <f t="shared" si="8"/>
        <v>1</v>
      </c>
      <c r="C417" s="45"/>
      <c r="D417" s="1156"/>
      <c r="E417" s="1156"/>
      <c r="F417" s="1156"/>
      <c r="G417" s="1156"/>
      <c r="H417" s="1156"/>
      <c r="I417" s="468"/>
      <c r="J417" s="76"/>
      <c r="K417" s="843"/>
      <c r="L417" s="1157"/>
      <c r="M417" s="1158"/>
      <c r="N417" s="1158"/>
      <c r="O417" s="1158"/>
    </row>
    <row r="418" spans="1:15" x14ac:dyDescent="0.2">
      <c r="A418" s="75"/>
      <c r="B418" s="52">
        <f t="shared" si="8"/>
        <v>1</v>
      </c>
      <c r="C418" s="45"/>
      <c r="D418" s="1156"/>
      <c r="E418" s="1156"/>
      <c r="F418" s="1156"/>
      <c r="G418" s="1156"/>
      <c r="H418" s="1156"/>
      <c r="I418" s="468"/>
      <c r="J418" s="76"/>
      <c r="K418" s="843"/>
      <c r="L418" s="1157"/>
      <c r="M418" s="1158"/>
      <c r="N418" s="1158"/>
      <c r="O418" s="1158"/>
    </row>
    <row r="419" spans="1:15" x14ac:dyDescent="0.2">
      <c r="A419" s="75"/>
      <c r="B419" s="52">
        <f t="shared" si="8"/>
        <v>1</v>
      </c>
      <c r="C419" s="45"/>
      <c r="D419" s="1156"/>
      <c r="E419" s="1156"/>
      <c r="F419" s="1156"/>
      <c r="G419" s="1156"/>
      <c r="H419" s="1156"/>
      <c r="I419" s="468"/>
      <c r="J419" s="76"/>
      <c r="K419" s="843"/>
      <c r="L419" s="1157"/>
      <c r="M419" s="1158"/>
      <c r="N419" s="1158"/>
      <c r="O419" s="1158"/>
    </row>
    <row r="420" spans="1:15" x14ac:dyDescent="0.2">
      <c r="A420" s="75"/>
      <c r="B420" s="52">
        <f t="shared" si="8"/>
        <v>1</v>
      </c>
      <c r="C420" s="45"/>
      <c r="D420" s="1156"/>
      <c r="E420" s="1156"/>
      <c r="F420" s="1156"/>
      <c r="G420" s="1156"/>
      <c r="H420" s="1156"/>
      <c r="I420" s="468"/>
      <c r="J420" s="76"/>
      <c r="K420" s="843"/>
      <c r="L420" s="1157"/>
      <c r="M420" s="1158"/>
      <c r="N420" s="1158"/>
      <c r="O420" s="1158"/>
    </row>
    <row r="421" spans="1:15" x14ac:dyDescent="0.2">
      <c r="A421" s="75"/>
      <c r="B421" s="52">
        <f t="shared" si="8"/>
        <v>1</v>
      </c>
      <c r="C421" s="45"/>
      <c r="D421" s="1156"/>
      <c r="E421" s="1156"/>
      <c r="F421" s="1156"/>
      <c r="G421" s="1156"/>
      <c r="H421" s="1156"/>
      <c r="I421" s="468"/>
      <c r="J421" s="76"/>
      <c r="K421" s="843"/>
      <c r="L421" s="1157"/>
      <c r="M421" s="1158"/>
      <c r="N421" s="1158"/>
      <c r="O421" s="1158"/>
    </row>
    <row r="422" spans="1:15" x14ac:dyDescent="0.2">
      <c r="A422" s="75"/>
      <c r="B422" s="52">
        <f t="shared" si="8"/>
        <v>1</v>
      </c>
      <c r="C422" s="45"/>
      <c r="D422" s="1156"/>
      <c r="E422" s="1156"/>
      <c r="F422" s="1156"/>
      <c r="G422" s="1156"/>
      <c r="H422" s="1156"/>
      <c r="I422" s="468"/>
      <c r="J422" s="76"/>
      <c r="K422" s="843"/>
      <c r="L422" s="1157"/>
      <c r="M422" s="1158"/>
      <c r="N422" s="1158"/>
      <c r="O422" s="1158"/>
    </row>
    <row r="423" spans="1:15" x14ac:dyDescent="0.2">
      <c r="A423" s="75"/>
      <c r="B423" s="52">
        <f t="shared" si="8"/>
        <v>1</v>
      </c>
      <c r="C423" s="45"/>
      <c r="D423" s="1156"/>
      <c r="E423" s="1156"/>
      <c r="F423" s="1156"/>
      <c r="G423" s="1156"/>
      <c r="H423" s="1156"/>
      <c r="I423" s="468"/>
      <c r="J423" s="76"/>
      <c r="K423" s="843"/>
      <c r="L423" s="1157"/>
      <c r="M423" s="1158"/>
      <c r="N423" s="1158"/>
      <c r="O423" s="1158"/>
    </row>
    <row r="424" spans="1:15" x14ac:dyDescent="0.2">
      <c r="A424" s="75"/>
      <c r="B424" s="52">
        <f t="shared" si="8"/>
        <v>1</v>
      </c>
      <c r="C424" s="45"/>
      <c r="D424" s="1156"/>
      <c r="E424" s="1156"/>
      <c r="F424" s="1156"/>
      <c r="G424" s="1156"/>
      <c r="H424" s="1156"/>
      <c r="I424" s="468"/>
      <c r="J424" s="76"/>
      <c r="K424" s="843"/>
      <c r="L424" s="1157"/>
      <c r="M424" s="1158"/>
      <c r="N424" s="1158"/>
      <c r="O424" s="1158"/>
    </row>
    <row r="425" spans="1:15" x14ac:dyDescent="0.2">
      <c r="A425" s="75"/>
      <c r="B425" s="52">
        <f t="shared" si="8"/>
        <v>1</v>
      </c>
      <c r="C425" s="45"/>
      <c r="D425" s="1156"/>
      <c r="E425" s="1156"/>
      <c r="F425" s="1156"/>
      <c r="G425" s="1156"/>
      <c r="H425" s="1156"/>
      <c r="I425" s="468"/>
      <c r="J425" s="76"/>
      <c r="K425" s="843"/>
      <c r="L425" s="1157"/>
      <c r="M425" s="1158"/>
      <c r="N425" s="1158"/>
      <c r="O425" s="1158"/>
    </row>
    <row r="426" spans="1:15" x14ac:dyDescent="0.2">
      <c r="A426" s="75"/>
      <c r="B426" s="52">
        <f t="shared" si="8"/>
        <v>1</v>
      </c>
      <c r="C426" s="45"/>
      <c r="D426" s="1156"/>
      <c r="E426" s="1156"/>
      <c r="F426" s="1156"/>
      <c r="G426" s="1156"/>
      <c r="H426" s="1156"/>
      <c r="I426" s="468"/>
      <c r="J426" s="76"/>
      <c r="K426" s="843"/>
      <c r="L426" s="1157"/>
      <c r="M426" s="1158"/>
      <c r="N426" s="1158"/>
      <c r="O426" s="1158"/>
    </row>
    <row r="427" spans="1:15" x14ac:dyDescent="0.2">
      <c r="A427" s="75"/>
      <c r="B427" s="52">
        <f t="shared" si="8"/>
        <v>1</v>
      </c>
      <c r="C427" s="45"/>
      <c r="D427" s="1156"/>
      <c r="E427" s="1156"/>
      <c r="F427" s="1156"/>
      <c r="G427" s="1156"/>
      <c r="H427" s="1156"/>
      <c r="I427" s="468"/>
      <c r="J427" s="76"/>
      <c r="K427" s="843"/>
      <c r="L427" s="1157"/>
      <c r="M427" s="1158"/>
      <c r="N427" s="1158"/>
      <c r="O427" s="1158"/>
    </row>
    <row r="428" spans="1:15" x14ac:dyDescent="0.2">
      <c r="A428" s="75"/>
      <c r="B428" s="52">
        <f t="shared" si="8"/>
        <v>1</v>
      </c>
      <c r="C428" s="45"/>
      <c r="D428" s="1156"/>
      <c r="E428" s="1156"/>
      <c r="F428" s="1156"/>
      <c r="G428" s="1156"/>
      <c r="H428" s="1156"/>
      <c r="I428" s="468"/>
      <c r="J428" s="76"/>
      <c r="K428" s="843"/>
      <c r="L428" s="1157"/>
      <c r="M428" s="1158"/>
      <c r="N428" s="1158"/>
      <c r="O428" s="1158"/>
    </row>
    <row r="429" spans="1:15" x14ac:dyDescent="0.2">
      <c r="A429" s="75"/>
      <c r="B429" s="52">
        <f t="shared" si="8"/>
        <v>1</v>
      </c>
      <c r="C429" s="45"/>
      <c r="D429" s="1156"/>
      <c r="E429" s="1156"/>
      <c r="F429" s="1156"/>
      <c r="G429" s="1156"/>
      <c r="H429" s="1156"/>
      <c r="I429" s="468"/>
      <c r="J429" s="76"/>
      <c r="K429" s="843"/>
      <c r="L429" s="1157"/>
      <c r="M429" s="1158"/>
      <c r="N429" s="1158"/>
      <c r="O429" s="1158"/>
    </row>
    <row r="430" spans="1:15" x14ac:dyDescent="0.2">
      <c r="A430" s="75"/>
      <c r="B430" s="52">
        <f t="shared" si="8"/>
        <v>1</v>
      </c>
      <c r="C430" s="45"/>
      <c r="D430" s="1156"/>
      <c r="E430" s="1156"/>
      <c r="F430" s="1156"/>
      <c r="G430" s="1156"/>
      <c r="H430" s="1156"/>
      <c r="I430" s="468"/>
      <c r="J430" s="76"/>
      <c r="K430" s="843"/>
      <c r="L430" s="1157"/>
      <c r="M430" s="1158"/>
      <c r="N430" s="1158"/>
      <c r="O430" s="1158"/>
    </row>
    <row r="431" spans="1:15" x14ac:dyDescent="0.2">
      <c r="A431" s="75"/>
      <c r="B431" s="52">
        <f t="shared" si="8"/>
        <v>1</v>
      </c>
      <c r="C431" s="45"/>
      <c r="D431" s="1156"/>
      <c r="E431" s="1156"/>
      <c r="F431" s="1156"/>
      <c r="G431" s="1156"/>
      <c r="H431" s="1156"/>
      <c r="I431" s="468"/>
      <c r="J431" s="76"/>
      <c r="K431" s="843"/>
      <c r="L431" s="1157"/>
      <c r="M431" s="1158"/>
      <c r="N431" s="1158"/>
      <c r="O431" s="1158"/>
    </row>
    <row r="432" spans="1:15" x14ac:dyDescent="0.2">
      <c r="A432" s="75"/>
      <c r="B432" s="52">
        <f t="shared" si="8"/>
        <v>1</v>
      </c>
      <c r="C432" s="45"/>
      <c r="D432" s="1156"/>
      <c r="E432" s="1156"/>
      <c r="F432" s="1156"/>
      <c r="G432" s="1156"/>
      <c r="H432" s="1156"/>
      <c r="I432" s="468"/>
      <c r="J432" s="76"/>
      <c r="K432" s="843"/>
      <c r="L432" s="1157"/>
      <c r="M432" s="1158"/>
      <c r="N432" s="1158"/>
      <c r="O432" s="1158"/>
    </row>
    <row r="433" spans="1:15" x14ac:dyDescent="0.2">
      <c r="A433" s="75"/>
      <c r="B433" s="52">
        <f t="shared" si="8"/>
        <v>1</v>
      </c>
      <c r="C433" s="45"/>
      <c r="D433" s="1156"/>
      <c r="E433" s="1156"/>
      <c r="F433" s="1156"/>
      <c r="G433" s="1156"/>
      <c r="H433" s="1156"/>
      <c r="I433" s="468"/>
      <c r="J433" s="76"/>
      <c r="K433" s="843"/>
      <c r="L433" s="1157"/>
      <c r="M433" s="1158"/>
      <c r="N433" s="1158"/>
      <c r="O433" s="1158"/>
    </row>
    <row r="434" spans="1:15" x14ac:dyDescent="0.2">
      <c r="A434" s="75"/>
      <c r="B434" s="52">
        <f t="shared" si="8"/>
        <v>1</v>
      </c>
      <c r="C434" s="45"/>
      <c r="D434" s="1156"/>
      <c r="E434" s="1156"/>
      <c r="F434" s="1156"/>
      <c r="G434" s="1156"/>
      <c r="H434" s="1156"/>
      <c r="I434" s="468"/>
      <c r="J434" s="76"/>
      <c r="K434" s="843"/>
      <c r="L434" s="1157"/>
      <c r="M434" s="1158"/>
      <c r="N434" s="1158"/>
      <c r="O434" s="1158"/>
    </row>
    <row r="435" spans="1:15" x14ac:dyDescent="0.2">
      <c r="A435" s="75"/>
      <c r="B435" s="52">
        <f t="shared" si="8"/>
        <v>1</v>
      </c>
      <c r="C435" s="45"/>
      <c r="D435" s="1156"/>
      <c r="E435" s="1156"/>
      <c r="F435" s="1156"/>
      <c r="G435" s="1156"/>
      <c r="H435" s="1156"/>
      <c r="I435" s="468"/>
      <c r="J435" s="76"/>
      <c r="K435" s="843"/>
      <c r="L435" s="1157"/>
      <c r="M435" s="1158"/>
      <c r="N435" s="1158"/>
      <c r="O435" s="1158"/>
    </row>
    <row r="436" spans="1:15" x14ac:dyDescent="0.2">
      <c r="A436" s="75"/>
      <c r="B436" s="52">
        <f t="shared" si="8"/>
        <v>1</v>
      </c>
      <c r="C436" s="45"/>
      <c r="D436" s="1156"/>
      <c r="E436" s="1156"/>
      <c r="F436" s="1156"/>
      <c r="G436" s="1156"/>
      <c r="H436" s="1156"/>
      <c r="I436" s="468"/>
      <c r="J436" s="76"/>
      <c r="K436" s="843"/>
      <c r="L436" s="1157"/>
      <c r="M436" s="1158"/>
      <c r="N436" s="1158"/>
      <c r="O436" s="1158"/>
    </row>
    <row r="437" spans="1:15" x14ac:dyDescent="0.2">
      <c r="A437" s="75"/>
      <c r="B437" s="52">
        <f t="shared" si="8"/>
        <v>1</v>
      </c>
      <c r="C437" s="45"/>
      <c r="D437" s="1156"/>
      <c r="E437" s="1156"/>
      <c r="F437" s="1156"/>
      <c r="G437" s="1156"/>
      <c r="H437" s="1156"/>
      <c r="I437" s="468"/>
      <c r="J437" s="76"/>
      <c r="K437" s="843"/>
      <c r="L437" s="1157"/>
      <c r="M437" s="1158"/>
      <c r="N437" s="1158"/>
      <c r="O437" s="1158"/>
    </row>
    <row r="438" spans="1:15" x14ac:dyDescent="0.2">
      <c r="A438" s="75"/>
      <c r="B438" s="52">
        <f t="shared" si="8"/>
        <v>1</v>
      </c>
      <c r="C438" s="45"/>
      <c r="D438" s="1156"/>
      <c r="E438" s="1156"/>
      <c r="F438" s="1156"/>
      <c r="G438" s="1156"/>
      <c r="H438" s="1156"/>
      <c r="I438" s="468"/>
      <c r="J438" s="76"/>
      <c r="K438" s="843"/>
      <c r="L438" s="1157"/>
      <c r="M438" s="1158"/>
      <c r="N438" s="1158"/>
      <c r="O438" s="1158"/>
    </row>
    <row r="439" spans="1:15" x14ac:dyDescent="0.2">
      <c r="A439" s="75"/>
      <c r="B439" s="52">
        <f t="shared" si="8"/>
        <v>1</v>
      </c>
      <c r="C439" s="45"/>
      <c r="D439" s="1156"/>
      <c r="E439" s="1156"/>
      <c r="F439" s="1156"/>
      <c r="G439" s="1156"/>
      <c r="H439" s="1156"/>
      <c r="I439" s="468"/>
      <c r="J439" s="76"/>
      <c r="K439" s="843"/>
      <c r="L439" s="1157"/>
      <c r="M439" s="1158"/>
      <c r="N439" s="1158"/>
      <c r="O439" s="1158"/>
    </row>
    <row r="440" spans="1:15" x14ac:dyDescent="0.2">
      <c r="A440" s="75"/>
      <c r="B440" s="52">
        <f t="shared" si="8"/>
        <v>1</v>
      </c>
      <c r="C440" s="45"/>
      <c r="D440" s="1156"/>
      <c r="E440" s="1156"/>
      <c r="F440" s="1156"/>
      <c r="G440" s="1156"/>
      <c r="H440" s="1156"/>
      <c r="I440" s="468"/>
      <c r="J440" s="76"/>
      <c r="K440" s="843"/>
      <c r="L440" s="1157"/>
      <c r="M440" s="1158"/>
      <c r="N440" s="1158"/>
      <c r="O440" s="1158"/>
    </row>
    <row r="441" spans="1:15" x14ac:dyDescent="0.2">
      <c r="A441" s="75"/>
      <c r="B441" s="52">
        <f t="shared" si="8"/>
        <v>1</v>
      </c>
      <c r="C441" s="45"/>
      <c r="D441" s="1156"/>
      <c r="E441" s="1156"/>
      <c r="F441" s="1156"/>
      <c r="G441" s="1156"/>
      <c r="H441" s="1156"/>
      <c r="I441" s="468"/>
      <c r="J441" s="76"/>
      <c r="K441" s="843"/>
      <c r="L441" s="1157"/>
      <c r="M441" s="1158"/>
      <c r="N441" s="1158"/>
      <c r="O441" s="1158"/>
    </row>
    <row r="442" spans="1:15" x14ac:dyDescent="0.2">
      <c r="A442" s="75"/>
      <c r="B442" s="52">
        <f t="shared" si="8"/>
        <v>1</v>
      </c>
      <c r="C442" s="45"/>
      <c r="D442" s="1156"/>
      <c r="E442" s="1156"/>
      <c r="F442" s="1156"/>
      <c r="G442" s="1156"/>
      <c r="H442" s="1156"/>
      <c r="I442" s="468"/>
      <c r="J442" s="76"/>
      <c r="K442" s="843"/>
      <c r="L442" s="1157"/>
      <c r="M442" s="1158"/>
      <c r="N442" s="1158"/>
      <c r="O442" s="1158"/>
    </row>
    <row r="443" spans="1:15" x14ac:dyDescent="0.2">
      <c r="A443" s="75"/>
      <c r="B443" s="52">
        <f t="shared" si="8"/>
        <v>1</v>
      </c>
      <c r="C443" s="45"/>
      <c r="D443" s="1156"/>
      <c r="E443" s="1156"/>
      <c r="F443" s="1156"/>
      <c r="G443" s="1156"/>
      <c r="H443" s="1156"/>
      <c r="I443" s="468"/>
      <c r="J443" s="76"/>
      <c r="K443" s="843"/>
      <c r="L443" s="1157"/>
      <c r="M443" s="1158"/>
      <c r="N443" s="1158"/>
      <c r="O443" s="1158"/>
    </row>
    <row r="444" spans="1:15" x14ac:dyDescent="0.2">
      <c r="A444" s="75"/>
      <c r="B444" s="52">
        <f t="shared" si="8"/>
        <v>1</v>
      </c>
      <c r="C444" s="45"/>
      <c r="D444" s="1156"/>
      <c r="E444" s="1156"/>
      <c r="F444" s="1156"/>
      <c r="G444" s="1156"/>
      <c r="H444" s="1156"/>
      <c r="I444" s="468"/>
      <c r="J444" s="76"/>
      <c r="K444" s="843"/>
      <c r="L444" s="1157"/>
      <c r="M444" s="1158"/>
      <c r="N444" s="1158"/>
      <c r="O444" s="1158"/>
    </row>
    <row r="445" spans="1:15" x14ac:dyDescent="0.2">
      <c r="A445" s="75"/>
      <c r="B445" s="52">
        <f t="shared" si="8"/>
        <v>1</v>
      </c>
      <c r="C445" s="45"/>
      <c r="D445" s="1156"/>
      <c r="E445" s="1156"/>
      <c r="F445" s="1156"/>
      <c r="G445" s="1156"/>
      <c r="H445" s="1156"/>
      <c r="I445" s="468"/>
      <c r="J445" s="76"/>
      <c r="K445" s="843"/>
      <c r="L445" s="1157"/>
      <c r="M445" s="1158"/>
      <c r="N445" s="1158"/>
      <c r="O445" s="1158"/>
    </row>
    <row r="446" spans="1:15" x14ac:dyDescent="0.2">
      <c r="A446" s="75"/>
      <c r="B446" s="52">
        <f t="shared" si="8"/>
        <v>1</v>
      </c>
      <c r="C446" s="45"/>
      <c r="D446" s="1156"/>
      <c r="E446" s="1156"/>
      <c r="F446" s="1156"/>
      <c r="G446" s="1156"/>
      <c r="H446" s="1156"/>
      <c r="I446" s="468"/>
      <c r="J446" s="76"/>
      <c r="K446" s="843"/>
      <c r="L446" s="1157"/>
      <c r="M446" s="1158"/>
      <c r="N446" s="1158"/>
      <c r="O446" s="1158"/>
    </row>
    <row r="447" spans="1:15" x14ac:dyDescent="0.2">
      <c r="A447" s="75"/>
      <c r="B447" s="52">
        <f t="shared" si="8"/>
        <v>1</v>
      </c>
      <c r="C447" s="45"/>
      <c r="D447" s="1156"/>
      <c r="E447" s="1156"/>
      <c r="F447" s="1156"/>
      <c r="G447" s="1156"/>
      <c r="H447" s="1156"/>
      <c r="I447" s="468"/>
      <c r="J447" s="76"/>
      <c r="K447" s="843"/>
      <c r="L447" s="1157"/>
      <c r="M447" s="1158"/>
      <c r="N447" s="1158"/>
      <c r="O447" s="1158"/>
    </row>
    <row r="448" spans="1:15" x14ac:dyDescent="0.2">
      <c r="A448" s="75"/>
      <c r="B448" s="52">
        <f t="shared" si="8"/>
        <v>1</v>
      </c>
      <c r="C448" s="45"/>
      <c r="D448" s="1156"/>
      <c r="E448" s="1156"/>
      <c r="F448" s="1156"/>
      <c r="G448" s="1156"/>
      <c r="H448" s="1156"/>
      <c r="I448" s="468"/>
      <c r="J448" s="76"/>
      <c r="K448" s="843"/>
      <c r="L448" s="1157"/>
      <c r="M448" s="1158"/>
      <c r="N448" s="1158"/>
      <c r="O448" s="1158"/>
    </row>
    <row r="449" spans="1:15" x14ac:dyDescent="0.2">
      <c r="A449" s="75"/>
      <c r="B449" s="52">
        <f t="shared" si="8"/>
        <v>1</v>
      </c>
      <c r="C449" s="45"/>
      <c r="D449" s="1156"/>
      <c r="E449" s="1156"/>
      <c r="F449" s="1156"/>
      <c r="G449" s="1156"/>
      <c r="H449" s="1156"/>
      <c r="I449" s="468"/>
      <c r="J449" s="76"/>
      <c r="K449" s="843"/>
      <c r="L449" s="1157"/>
      <c r="M449" s="1158"/>
      <c r="N449" s="1158"/>
      <c r="O449" s="1158"/>
    </row>
    <row r="450" spans="1:15" x14ac:dyDescent="0.2">
      <c r="A450" s="75"/>
      <c r="B450" s="52">
        <f t="shared" si="8"/>
        <v>1</v>
      </c>
      <c r="C450" s="45"/>
      <c r="D450" s="1156"/>
      <c r="E450" s="1156"/>
      <c r="F450" s="1156"/>
      <c r="G450" s="1156"/>
      <c r="H450" s="1156"/>
      <c r="I450" s="468"/>
      <c r="J450" s="76"/>
      <c r="K450" s="843"/>
      <c r="L450" s="1157"/>
      <c r="M450" s="1158"/>
      <c r="N450" s="1158"/>
      <c r="O450" s="1158"/>
    </row>
    <row r="451" spans="1:15" x14ac:dyDescent="0.2">
      <c r="A451" s="75"/>
      <c r="B451" s="52">
        <f t="shared" si="8"/>
        <v>1</v>
      </c>
      <c r="C451" s="45"/>
      <c r="D451" s="1156"/>
      <c r="E451" s="1156"/>
      <c r="F451" s="1156"/>
      <c r="G451" s="1156"/>
      <c r="H451" s="1156"/>
      <c r="I451" s="468"/>
      <c r="J451" s="76"/>
      <c r="K451" s="843"/>
      <c r="L451" s="1157"/>
      <c r="M451" s="1158"/>
      <c r="N451" s="1158"/>
      <c r="O451" s="1158"/>
    </row>
    <row r="452" spans="1:15" x14ac:dyDescent="0.2">
      <c r="A452" s="75"/>
      <c r="B452" s="52">
        <f t="shared" si="8"/>
        <v>1</v>
      </c>
      <c r="C452" s="45"/>
      <c r="D452" s="1156"/>
      <c r="E452" s="1156"/>
      <c r="F452" s="1156"/>
      <c r="G452" s="1156"/>
      <c r="H452" s="1156"/>
      <c r="I452" s="468"/>
      <c r="J452" s="76"/>
      <c r="K452" s="843"/>
      <c r="L452" s="1157"/>
      <c r="M452" s="1158"/>
      <c r="N452" s="1158"/>
      <c r="O452" s="1158"/>
    </row>
    <row r="453" spans="1:15" x14ac:dyDescent="0.2">
      <c r="A453" s="75"/>
      <c r="B453" s="52">
        <f t="shared" si="8"/>
        <v>1</v>
      </c>
      <c r="C453" s="45"/>
      <c r="D453" s="1156"/>
      <c r="E453" s="1156"/>
      <c r="F453" s="1156"/>
      <c r="G453" s="1156"/>
      <c r="H453" s="1156"/>
      <c r="I453" s="468"/>
      <c r="J453" s="76"/>
      <c r="K453" s="843"/>
      <c r="L453" s="1157"/>
      <c r="M453" s="1158"/>
      <c r="N453" s="1158"/>
      <c r="O453" s="1158"/>
    </row>
    <row r="454" spans="1:15" x14ac:dyDescent="0.2">
      <c r="A454" s="75"/>
      <c r="B454" s="52">
        <f t="shared" si="8"/>
        <v>1</v>
      </c>
      <c r="C454" s="45"/>
      <c r="D454" s="1156"/>
      <c r="E454" s="1156"/>
      <c r="F454" s="1156"/>
      <c r="G454" s="1156"/>
      <c r="H454" s="1156"/>
      <c r="I454" s="468"/>
      <c r="J454" s="76"/>
      <c r="K454" s="843"/>
      <c r="L454" s="1157"/>
      <c r="M454" s="1158"/>
      <c r="N454" s="1158"/>
      <c r="O454" s="1158"/>
    </row>
    <row r="455" spans="1:15" x14ac:dyDescent="0.2">
      <c r="A455" s="75"/>
      <c r="B455" s="52">
        <f t="shared" si="8"/>
        <v>1</v>
      </c>
      <c r="C455" s="45"/>
      <c r="D455" s="1156"/>
      <c r="E455" s="1156"/>
      <c r="F455" s="1156"/>
      <c r="G455" s="1156"/>
      <c r="H455" s="1156"/>
      <c r="I455" s="468"/>
      <c r="J455" s="76"/>
      <c r="K455" s="843"/>
      <c r="L455" s="1157"/>
      <c r="M455" s="1158"/>
      <c r="N455" s="1158"/>
      <c r="O455" s="1158"/>
    </row>
    <row r="456" spans="1:15" x14ac:dyDescent="0.2">
      <c r="A456" s="75"/>
      <c r="B456" s="52">
        <f t="shared" si="8"/>
        <v>1</v>
      </c>
      <c r="C456" s="45"/>
      <c r="D456" s="1156"/>
      <c r="E456" s="1156"/>
      <c r="F456" s="1156"/>
      <c r="G456" s="1156"/>
      <c r="H456" s="1156"/>
      <c r="I456" s="468"/>
      <c r="J456" s="76"/>
      <c r="K456" s="843"/>
      <c r="L456" s="1157"/>
      <c r="M456" s="1158"/>
      <c r="N456" s="1158"/>
      <c r="O456" s="1158"/>
    </row>
    <row r="457" spans="1:15" x14ac:dyDescent="0.2">
      <c r="A457" s="75"/>
      <c r="B457" s="52">
        <f t="shared" si="8"/>
        <v>1</v>
      </c>
      <c r="C457" s="45"/>
      <c r="D457" s="1156"/>
      <c r="E457" s="1156"/>
      <c r="F457" s="1156"/>
      <c r="G457" s="1156"/>
      <c r="H457" s="1156"/>
      <c r="I457" s="468"/>
      <c r="J457" s="76"/>
      <c r="K457" s="843"/>
      <c r="L457" s="1157"/>
      <c r="M457" s="1158"/>
      <c r="N457" s="1158"/>
      <c r="O457" s="1158"/>
    </row>
    <row r="458" spans="1:15" x14ac:dyDescent="0.2">
      <c r="A458" s="75"/>
      <c r="B458" s="52">
        <f t="shared" si="8"/>
        <v>1</v>
      </c>
      <c r="C458" s="45"/>
      <c r="D458" s="1156"/>
      <c r="E458" s="1156"/>
      <c r="F458" s="1156"/>
      <c r="G458" s="1156"/>
      <c r="H458" s="1156"/>
      <c r="I458" s="468"/>
      <c r="J458" s="76"/>
      <c r="K458" s="843"/>
      <c r="L458" s="1157"/>
      <c r="M458" s="1158"/>
      <c r="N458" s="1158"/>
      <c r="O458" s="1158"/>
    </row>
    <row r="459" spans="1:15" x14ac:dyDescent="0.2">
      <c r="A459" s="75"/>
      <c r="B459" s="52">
        <f t="shared" si="8"/>
        <v>1</v>
      </c>
      <c r="C459" s="45"/>
      <c r="D459" s="1156"/>
      <c r="E459" s="1156"/>
      <c r="F459" s="1156"/>
      <c r="G459" s="1156"/>
      <c r="H459" s="1156"/>
      <c r="I459" s="468"/>
      <c r="J459" s="76"/>
      <c r="K459" s="843"/>
      <c r="L459" s="1157"/>
      <c r="M459" s="1158"/>
      <c r="N459" s="1158"/>
      <c r="O459" s="1158"/>
    </row>
    <row r="460" spans="1:15" x14ac:dyDescent="0.2">
      <c r="A460" s="75"/>
      <c r="B460" s="52">
        <f t="shared" si="8"/>
        <v>1</v>
      </c>
      <c r="C460" s="45"/>
      <c r="D460" s="1156"/>
      <c r="E460" s="1156"/>
      <c r="F460" s="1156"/>
      <c r="G460" s="1156"/>
      <c r="H460" s="1156"/>
      <c r="I460" s="468"/>
      <c r="J460" s="76"/>
      <c r="K460" s="843"/>
      <c r="L460" s="1157"/>
      <c r="M460" s="1158"/>
      <c r="N460" s="1158"/>
      <c r="O460" s="1158"/>
    </row>
    <row r="461" spans="1:15" x14ac:dyDescent="0.2">
      <c r="A461" s="75"/>
      <c r="B461" s="52">
        <f t="shared" si="8"/>
        <v>1</v>
      </c>
      <c r="C461" s="45"/>
      <c r="D461" s="1156"/>
      <c r="E461" s="1156"/>
      <c r="F461" s="1156"/>
      <c r="G461" s="1156"/>
      <c r="H461" s="1156"/>
      <c r="I461" s="468"/>
      <c r="J461" s="76"/>
      <c r="K461" s="843"/>
      <c r="L461" s="1157"/>
      <c r="M461" s="1158"/>
      <c r="N461" s="1158"/>
      <c r="O461" s="1158"/>
    </row>
    <row r="462" spans="1:15" x14ac:dyDescent="0.2">
      <c r="A462" s="75"/>
      <c r="B462" s="52">
        <f t="shared" ref="B462:B525" si="9">MONTH(A462)</f>
        <v>1</v>
      </c>
      <c r="C462" s="45"/>
      <c r="D462" s="1156"/>
      <c r="E462" s="1156"/>
      <c r="F462" s="1156"/>
      <c r="G462" s="1156"/>
      <c r="H462" s="1156"/>
      <c r="I462" s="468"/>
      <c r="J462" s="76"/>
      <c r="K462" s="843"/>
      <c r="L462" s="1157"/>
      <c r="M462" s="1158"/>
      <c r="N462" s="1158"/>
      <c r="O462" s="1158"/>
    </row>
    <row r="463" spans="1:15" x14ac:dyDescent="0.2">
      <c r="A463" s="75"/>
      <c r="B463" s="52">
        <f t="shared" si="9"/>
        <v>1</v>
      </c>
      <c r="C463" s="45"/>
      <c r="D463" s="1156"/>
      <c r="E463" s="1156"/>
      <c r="F463" s="1156"/>
      <c r="G463" s="1156"/>
      <c r="H463" s="1156"/>
      <c r="I463" s="468"/>
      <c r="J463" s="76"/>
      <c r="K463" s="843"/>
      <c r="L463" s="1157"/>
      <c r="M463" s="1158"/>
      <c r="N463" s="1158"/>
      <c r="O463" s="1158"/>
    </row>
    <row r="464" spans="1:15" x14ac:dyDescent="0.2">
      <c r="A464" s="75"/>
      <c r="B464" s="52">
        <f t="shared" si="9"/>
        <v>1</v>
      </c>
      <c r="C464" s="45"/>
      <c r="D464" s="1156"/>
      <c r="E464" s="1156"/>
      <c r="F464" s="1156"/>
      <c r="G464" s="1156"/>
      <c r="H464" s="1156"/>
      <c r="I464" s="468"/>
      <c r="J464" s="76"/>
      <c r="K464" s="843"/>
      <c r="L464" s="1157"/>
      <c r="M464" s="1158"/>
      <c r="N464" s="1158"/>
      <c r="O464" s="1158"/>
    </row>
    <row r="465" spans="1:15" x14ac:dyDescent="0.2">
      <c r="A465" s="75"/>
      <c r="B465" s="52">
        <f t="shared" si="9"/>
        <v>1</v>
      </c>
      <c r="C465" s="45"/>
      <c r="D465" s="1156"/>
      <c r="E465" s="1156"/>
      <c r="F465" s="1156"/>
      <c r="G465" s="1156"/>
      <c r="H465" s="1156"/>
      <c r="I465" s="468"/>
      <c r="J465" s="76"/>
      <c r="K465" s="843"/>
      <c r="L465" s="1157"/>
      <c r="M465" s="1158"/>
      <c r="N465" s="1158"/>
      <c r="O465" s="1158"/>
    </row>
    <row r="466" spans="1:15" x14ac:dyDescent="0.2">
      <c r="A466" s="75"/>
      <c r="B466" s="52">
        <f t="shared" si="9"/>
        <v>1</v>
      </c>
      <c r="C466" s="45"/>
      <c r="D466" s="1156"/>
      <c r="E466" s="1156"/>
      <c r="F466" s="1156"/>
      <c r="G466" s="1156"/>
      <c r="H466" s="1156"/>
      <c r="I466" s="468"/>
      <c r="J466" s="76"/>
      <c r="K466" s="843"/>
      <c r="L466" s="1157"/>
      <c r="M466" s="1158"/>
      <c r="N466" s="1158"/>
      <c r="O466" s="1158"/>
    </row>
    <row r="467" spans="1:15" x14ac:dyDescent="0.2">
      <c r="A467" s="75"/>
      <c r="B467" s="52">
        <f t="shared" si="9"/>
        <v>1</v>
      </c>
      <c r="C467" s="45"/>
      <c r="D467" s="1156"/>
      <c r="E467" s="1156"/>
      <c r="F467" s="1156"/>
      <c r="G467" s="1156"/>
      <c r="H467" s="1156"/>
      <c r="I467" s="468"/>
      <c r="J467" s="76"/>
      <c r="K467" s="843"/>
      <c r="L467" s="1157"/>
      <c r="M467" s="1158"/>
      <c r="N467" s="1158"/>
      <c r="O467" s="1158"/>
    </row>
    <row r="468" spans="1:15" x14ac:dyDescent="0.2">
      <c r="A468" s="75"/>
      <c r="B468" s="52">
        <f t="shared" si="9"/>
        <v>1</v>
      </c>
      <c r="C468" s="45"/>
      <c r="D468" s="1156"/>
      <c r="E468" s="1156"/>
      <c r="F468" s="1156"/>
      <c r="G468" s="1156"/>
      <c r="H468" s="1156"/>
      <c r="I468" s="468"/>
      <c r="J468" s="76"/>
      <c r="K468" s="843"/>
      <c r="L468" s="1157"/>
      <c r="M468" s="1158"/>
      <c r="N468" s="1158"/>
      <c r="O468" s="1158"/>
    </row>
    <row r="469" spans="1:15" x14ac:dyDescent="0.2">
      <c r="A469" s="75"/>
      <c r="B469" s="52">
        <f t="shared" si="9"/>
        <v>1</v>
      </c>
      <c r="C469" s="45"/>
      <c r="D469" s="1156"/>
      <c r="E469" s="1156"/>
      <c r="F469" s="1156"/>
      <c r="G469" s="1156"/>
      <c r="H469" s="1156"/>
      <c r="I469" s="468"/>
      <c r="J469" s="76"/>
      <c r="K469" s="843"/>
      <c r="L469" s="1157"/>
      <c r="M469" s="1158"/>
      <c r="N469" s="1158"/>
      <c r="O469" s="1158"/>
    </row>
    <row r="470" spans="1:15" x14ac:dyDescent="0.2">
      <c r="A470" s="75"/>
      <c r="B470" s="52">
        <f t="shared" si="9"/>
        <v>1</v>
      </c>
      <c r="C470" s="45"/>
      <c r="D470" s="1156"/>
      <c r="E470" s="1156"/>
      <c r="F470" s="1156"/>
      <c r="G470" s="1156"/>
      <c r="H470" s="1156"/>
      <c r="I470" s="468"/>
      <c r="J470" s="76"/>
      <c r="K470" s="843"/>
      <c r="L470" s="1157"/>
      <c r="M470" s="1158"/>
      <c r="N470" s="1158"/>
      <c r="O470" s="1158"/>
    </row>
    <row r="471" spans="1:15" x14ac:dyDescent="0.2">
      <c r="A471" s="75"/>
      <c r="B471" s="52">
        <f t="shared" si="9"/>
        <v>1</v>
      </c>
      <c r="C471" s="45"/>
      <c r="D471" s="1156"/>
      <c r="E471" s="1156"/>
      <c r="F471" s="1156"/>
      <c r="G471" s="1156"/>
      <c r="H471" s="1156"/>
      <c r="I471" s="468"/>
      <c r="J471" s="76"/>
      <c r="K471" s="843"/>
      <c r="L471" s="1157"/>
      <c r="M471" s="1158"/>
      <c r="N471" s="1158"/>
      <c r="O471" s="1158"/>
    </row>
    <row r="472" spans="1:15" x14ac:dyDescent="0.2">
      <c r="A472" s="75"/>
      <c r="B472" s="52">
        <f t="shared" si="9"/>
        <v>1</v>
      </c>
      <c r="C472" s="45"/>
      <c r="D472" s="1156"/>
      <c r="E472" s="1156"/>
      <c r="F472" s="1156"/>
      <c r="G472" s="1156"/>
      <c r="H472" s="1156"/>
      <c r="I472" s="468"/>
      <c r="J472" s="76"/>
      <c r="K472" s="843"/>
      <c r="L472" s="1157"/>
      <c r="M472" s="1158"/>
      <c r="N472" s="1158"/>
      <c r="O472" s="1158"/>
    </row>
    <row r="473" spans="1:15" x14ac:dyDescent="0.2">
      <c r="A473" s="75"/>
      <c r="B473" s="52">
        <f t="shared" si="9"/>
        <v>1</v>
      </c>
      <c r="C473" s="45"/>
      <c r="D473" s="1156"/>
      <c r="E473" s="1156"/>
      <c r="F473" s="1156"/>
      <c r="G473" s="1156"/>
      <c r="H473" s="1156"/>
      <c r="I473" s="468"/>
      <c r="J473" s="76"/>
      <c r="K473" s="843"/>
      <c r="L473" s="1157"/>
      <c r="M473" s="1158"/>
      <c r="N473" s="1158"/>
      <c r="O473" s="1158"/>
    </row>
    <row r="474" spans="1:15" x14ac:dyDescent="0.2">
      <c r="A474" s="75"/>
      <c r="B474" s="52">
        <f t="shared" si="9"/>
        <v>1</v>
      </c>
      <c r="C474" s="45"/>
      <c r="D474" s="1156"/>
      <c r="E474" s="1156"/>
      <c r="F474" s="1156"/>
      <c r="G474" s="1156"/>
      <c r="H474" s="1156"/>
      <c r="I474" s="468"/>
      <c r="J474" s="76"/>
      <c r="K474" s="843"/>
      <c r="L474" s="1157"/>
      <c r="M474" s="1158"/>
      <c r="N474" s="1158"/>
      <c r="O474" s="1158"/>
    </row>
    <row r="475" spans="1:15" x14ac:dyDescent="0.2">
      <c r="A475" s="75"/>
      <c r="B475" s="52">
        <f t="shared" si="9"/>
        <v>1</v>
      </c>
      <c r="C475" s="45"/>
      <c r="D475" s="1156"/>
      <c r="E475" s="1156"/>
      <c r="F475" s="1156"/>
      <c r="G475" s="1156"/>
      <c r="H475" s="1156"/>
      <c r="I475" s="468"/>
      <c r="J475" s="76"/>
      <c r="K475" s="843"/>
      <c r="L475" s="1157"/>
      <c r="M475" s="1158"/>
      <c r="N475" s="1158"/>
      <c r="O475" s="1158"/>
    </row>
    <row r="476" spans="1:15" x14ac:dyDescent="0.2">
      <c r="A476" s="75"/>
      <c r="B476" s="52">
        <f t="shared" si="9"/>
        <v>1</v>
      </c>
      <c r="C476" s="45"/>
      <c r="D476" s="1156"/>
      <c r="E476" s="1156"/>
      <c r="F476" s="1156"/>
      <c r="G476" s="1156"/>
      <c r="H476" s="1156"/>
      <c r="I476" s="468"/>
      <c r="J476" s="76"/>
      <c r="K476" s="843"/>
      <c r="L476" s="1157"/>
      <c r="M476" s="1158"/>
      <c r="N476" s="1158"/>
      <c r="O476" s="1158"/>
    </row>
    <row r="477" spans="1:15" x14ac:dyDescent="0.2">
      <c r="A477" s="75"/>
      <c r="B477" s="52">
        <f t="shared" si="9"/>
        <v>1</v>
      </c>
      <c r="C477" s="45"/>
      <c r="D477" s="1156"/>
      <c r="E477" s="1156"/>
      <c r="F477" s="1156"/>
      <c r="G477" s="1156"/>
      <c r="H477" s="1156"/>
      <c r="I477" s="468"/>
      <c r="J477" s="76"/>
      <c r="K477" s="843"/>
      <c r="L477" s="1157"/>
      <c r="M477" s="1158"/>
      <c r="N477" s="1158"/>
      <c r="O477" s="1158"/>
    </row>
    <row r="478" spans="1:15" x14ac:dyDescent="0.2">
      <c r="A478" s="75"/>
      <c r="B478" s="52">
        <f t="shared" si="9"/>
        <v>1</v>
      </c>
      <c r="C478" s="45"/>
      <c r="D478" s="1156"/>
      <c r="E478" s="1156"/>
      <c r="F478" s="1156"/>
      <c r="G478" s="1156"/>
      <c r="H478" s="1156"/>
      <c r="I478" s="468"/>
      <c r="J478" s="76"/>
      <c r="K478" s="843"/>
      <c r="L478" s="1157"/>
      <c r="M478" s="1158"/>
      <c r="N478" s="1158"/>
      <c r="O478" s="1158"/>
    </row>
    <row r="479" spans="1:15" x14ac:dyDescent="0.2">
      <c r="A479" s="75"/>
      <c r="B479" s="52">
        <f t="shared" si="9"/>
        <v>1</v>
      </c>
      <c r="C479" s="45"/>
      <c r="D479" s="1156"/>
      <c r="E479" s="1156"/>
      <c r="F479" s="1156"/>
      <c r="G479" s="1156"/>
      <c r="H479" s="1156"/>
      <c r="I479" s="468"/>
      <c r="J479" s="76"/>
      <c r="K479" s="843"/>
      <c r="L479" s="1157"/>
      <c r="M479" s="1158"/>
      <c r="N479" s="1158"/>
      <c r="O479" s="1158"/>
    </row>
    <row r="480" spans="1:15" x14ac:dyDescent="0.2">
      <c r="A480" s="75"/>
      <c r="B480" s="52">
        <f t="shared" si="9"/>
        <v>1</v>
      </c>
      <c r="C480" s="45"/>
      <c r="D480" s="1156"/>
      <c r="E480" s="1156"/>
      <c r="F480" s="1156"/>
      <c r="G480" s="1156"/>
      <c r="H480" s="1156"/>
      <c r="I480" s="468"/>
      <c r="J480" s="76"/>
      <c r="K480" s="843"/>
      <c r="L480" s="1157"/>
      <c r="M480" s="1158"/>
      <c r="N480" s="1158"/>
      <c r="O480" s="1158"/>
    </row>
    <row r="481" spans="1:15" x14ac:dyDescent="0.2">
      <c r="A481" s="75"/>
      <c r="B481" s="52">
        <f t="shared" si="9"/>
        <v>1</v>
      </c>
      <c r="C481" s="45"/>
      <c r="D481" s="1156"/>
      <c r="E481" s="1156"/>
      <c r="F481" s="1156"/>
      <c r="G481" s="1156"/>
      <c r="H481" s="1156"/>
      <c r="I481" s="468"/>
      <c r="J481" s="76"/>
      <c r="K481" s="843"/>
      <c r="L481" s="1157"/>
      <c r="M481" s="1158"/>
      <c r="N481" s="1158"/>
      <c r="O481" s="1158"/>
    </row>
    <row r="482" spans="1:15" x14ac:dyDescent="0.2">
      <c r="A482" s="75"/>
      <c r="B482" s="52">
        <f t="shared" si="9"/>
        <v>1</v>
      </c>
      <c r="C482" s="45"/>
      <c r="D482" s="1156"/>
      <c r="E482" s="1156"/>
      <c r="F482" s="1156"/>
      <c r="G482" s="1156"/>
      <c r="H482" s="1156"/>
      <c r="I482" s="468"/>
      <c r="J482" s="76"/>
      <c r="K482" s="843"/>
      <c r="L482" s="1157"/>
      <c r="M482" s="1158"/>
      <c r="N482" s="1158"/>
      <c r="O482" s="1158"/>
    </row>
    <row r="483" spans="1:15" x14ac:dyDescent="0.2">
      <c r="A483" s="75"/>
      <c r="B483" s="52">
        <f t="shared" si="9"/>
        <v>1</v>
      </c>
      <c r="C483" s="45"/>
      <c r="D483" s="1156"/>
      <c r="E483" s="1156"/>
      <c r="F483" s="1156"/>
      <c r="G483" s="1156"/>
      <c r="H483" s="1156"/>
      <c r="I483" s="468"/>
      <c r="J483" s="76"/>
      <c r="K483" s="843"/>
      <c r="L483" s="1157"/>
      <c r="M483" s="1158"/>
      <c r="N483" s="1158"/>
      <c r="O483" s="1158"/>
    </row>
    <row r="484" spans="1:15" x14ac:dyDescent="0.2">
      <c r="A484" s="75"/>
      <c r="B484" s="52">
        <f t="shared" si="9"/>
        <v>1</v>
      </c>
      <c r="C484" s="45"/>
      <c r="D484" s="1156"/>
      <c r="E484" s="1156"/>
      <c r="F484" s="1156"/>
      <c r="G484" s="1156"/>
      <c r="H484" s="1156"/>
      <c r="I484" s="468"/>
      <c r="J484" s="76"/>
      <c r="K484" s="843"/>
      <c r="L484" s="1157"/>
      <c r="M484" s="1158"/>
      <c r="N484" s="1158"/>
      <c r="O484" s="1158"/>
    </row>
    <row r="485" spans="1:15" x14ac:dyDescent="0.2">
      <c r="A485" s="75"/>
      <c r="B485" s="52">
        <f t="shared" si="9"/>
        <v>1</v>
      </c>
      <c r="C485" s="45"/>
      <c r="D485" s="1156"/>
      <c r="E485" s="1156"/>
      <c r="F485" s="1156"/>
      <c r="G485" s="1156"/>
      <c r="H485" s="1156"/>
      <c r="I485" s="468"/>
      <c r="J485" s="76"/>
      <c r="K485" s="843"/>
      <c r="L485" s="1157"/>
      <c r="M485" s="1158"/>
      <c r="N485" s="1158"/>
      <c r="O485" s="1158"/>
    </row>
    <row r="486" spans="1:15" x14ac:dyDescent="0.2">
      <c r="A486" s="75"/>
      <c r="B486" s="52">
        <f t="shared" si="9"/>
        <v>1</v>
      </c>
      <c r="C486" s="45"/>
      <c r="D486" s="1156"/>
      <c r="E486" s="1156"/>
      <c r="F486" s="1156"/>
      <c r="G486" s="1156"/>
      <c r="H486" s="1156"/>
      <c r="I486" s="468"/>
      <c r="J486" s="76"/>
      <c r="K486" s="843"/>
      <c r="L486" s="1157"/>
      <c r="M486" s="1158"/>
      <c r="N486" s="1158"/>
      <c r="O486" s="1158"/>
    </row>
    <row r="487" spans="1:15" x14ac:dyDescent="0.2">
      <c r="A487" s="75"/>
      <c r="B487" s="52">
        <f t="shared" si="9"/>
        <v>1</v>
      </c>
      <c r="C487" s="45"/>
      <c r="D487" s="1156"/>
      <c r="E487" s="1156"/>
      <c r="F487" s="1156"/>
      <c r="G487" s="1156"/>
      <c r="H487" s="1156"/>
      <c r="I487" s="468"/>
      <c r="J487" s="76"/>
      <c r="K487" s="843"/>
      <c r="L487" s="1157"/>
      <c r="M487" s="1158"/>
      <c r="N487" s="1158"/>
      <c r="O487" s="1158"/>
    </row>
    <row r="488" spans="1:15" x14ac:dyDescent="0.2">
      <c r="A488" s="75"/>
      <c r="B488" s="52">
        <f t="shared" si="9"/>
        <v>1</v>
      </c>
      <c r="C488" s="45"/>
      <c r="D488" s="1156"/>
      <c r="E488" s="1156"/>
      <c r="F488" s="1156"/>
      <c r="G488" s="1156"/>
      <c r="H488" s="1156"/>
      <c r="I488" s="468"/>
      <c r="J488" s="76"/>
      <c r="K488" s="843"/>
      <c r="L488" s="1157"/>
      <c r="M488" s="1158"/>
      <c r="N488" s="1158"/>
      <c r="O488" s="1158"/>
    </row>
    <row r="489" spans="1:15" x14ac:dyDescent="0.2">
      <c r="A489" s="75"/>
      <c r="B489" s="52">
        <f t="shared" si="9"/>
        <v>1</v>
      </c>
      <c r="C489" s="45"/>
      <c r="D489" s="1156"/>
      <c r="E489" s="1156"/>
      <c r="F489" s="1156"/>
      <c r="G489" s="1156"/>
      <c r="H489" s="1156"/>
      <c r="I489" s="468"/>
      <c r="J489" s="76"/>
      <c r="K489" s="843"/>
      <c r="L489" s="1157"/>
      <c r="M489" s="1158"/>
      <c r="N489" s="1158"/>
      <c r="O489" s="1158"/>
    </row>
    <row r="490" spans="1:15" x14ac:dyDescent="0.2">
      <c r="A490" s="75"/>
      <c r="B490" s="52">
        <f t="shared" si="9"/>
        <v>1</v>
      </c>
      <c r="C490" s="45"/>
      <c r="D490" s="1156"/>
      <c r="E490" s="1156"/>
      <c r="F490" s="1156"/>
      <c r="G490" s="1156"/>
      <c r="H490" s="1156"/>
      <c r="I490" s="468"/>
      <c r="J490" s="76"/>
      <c r="K490" s="843"/>
      <c r="L490" s="1157"/>
      <c r="M490" s="1158"/>
      <c r="N490" s="1158"/>
      <c r="O490" s="1158"/>
    </row>
    <row r="491" spans="1:15" x14ac:dyDescent="0.2">
      <c r="A491" s="75"/>
      <c r="B491" s="52">
        <f t="shared" si="9"/>
        <v>1</v>
      </c>
      <c r="C491" s="45"/>
      <c r="D491" s="1156"/>
      <c r="E491" s="1156"/>
      <c r="F491" s="1156"/>
      <c r="G491" s="1156"/>
      <c r="H491" s="1156"/>
      <c r="I491" s="468"/>
      <c r="J491" s="76"/>
      <c r="K491" s="843"/>
      <c r="L491" s="1157"/>
      <c r="M491" s="1158"/>
      <c r="N491" s="1158"/>
      <c r="O491" s="1158"/>
    </row>
    <row r="492" spans="1:15" x14ac:dyDescent="0.2">
      <c r="A492" s="75"/>
      <c r="B492" s="52">
        <f t="shared" si="9"/>
        <v>1</v>
      </c>
      <c r="C492" s="45"/>
      <c r="D492" s="1156"/>
      <c r="E492" s="1156"/>
      <c r="F492" s="1156"/>
      <c r="G492" s="1156"/>
      <c r="H492" s="1156"/>
      <c r="I492" s="468"/>
      <c r="J492" s="76"/>
      <c r="K492" s="843"/>
      <c r="L492" s="1157"/>
      <c r="M492" s="1158"/>
      <c r="N492" s="1158"/>
      <c r="O492" s="1158"/>
    </row>
    <row r="493" spans="1:15" x14ac:dyDescent="0.2">
      <c r="A493" s="75"/>
      <c r="B493" s="52">
        <f t="shared" si="9"/>
        <v>1</v>
      </c>
      <c r="C493" s="45"/>
      <c r="D493" s="1156"/>
      <c r="E493" s="1156"/>
      <c r="F493" s="1156"/>
      <c r="G493" s="1156"/>
      <c r="H493" s="1156"/>
      <c r="I493" s="468"/>
      <c r="J493" s="76"/>
      <c r="K493" s="843"/>
      <c r="L493" s="1157"/>
      <c r="M493" s="1158"/>
      <c r="N493" s="1158"/>
      <c r="O493" s="1158"/>
    </row>
    <row r="494" spans="1:15" x14ac:dyDescent="0.2">
      <c r="A494" s="75"/>
      <c r="B494" s="52">
        <f t="shared" si="9"/>
        <v>1</v>
      </c>
      <c r="C494" s="45"/>
      <c r="D494" s="1156"/>
      <c r="E494" s="1156"/>
      <c r="F494" s="1156"/>
      <c r="G494" s="1156"/>
      <c r="H494" s="1156"/>
      <c r="I494" s="468"/>
      <c r="J494" s="76"/>
      <c r="K494" s="843"/>
      <c r="L494" s="1157"/>
      <c r="M494" s="1158"/>
      <c r="N494" s="1158"/>
      <c r="O494" s="1158"/>
    </row>
    <row r="495" spans="1:15" x14ac:dyDescent="0.2">
      <c r="A495" s="75"/>
      <c r="B495" s="52">
        <f t="shared" si="9"/>
        <v>1</v>
      </c>
      <c r="C495" s="45"/>
      <c r="D495" s="1156"/>
      <c r="E495" s="1156"/>
      <c r="F495" s="1156"/>
      <c r="G495" s="1156"/>
      <c r="H495" s="1156"/>
      <c r="I495" s="468"/>
      <c r="J495" s="76"/>
      <c r="K495" s="843"/>
      <c r="L495" s="1157"/>
      <c r="M495" s="1158"/>
      <c r="N495" s="1158"/>
      <c r="O495" s="1158"/>
    </row>
    <row r="496" spans="1:15" x14ac:dyDescent="0.2">
      <c r="A496" s="75"/>
      <c r="B496" s="52">
        <f t="shared" si="9"/>
        <v>1</v>
      </c>
      <c r="C496" s="45"/>
      <c r="D496" s="1156"/>
      <c r="E496" s="1156"/>
      <c r="F496" s="1156"/>
      <c r="G496" s="1156"/>
      <c r="H496" s="1156"/>
      <c r="I496" s="468"/>
      <c r="J496" s="76"/>
      <c r="K496" s="843"/>
      <c r="L496" s="1157"/>
      <c r="M496" s="1158"/>
      <c r="N496" s="1158"/>
      <c r="O496" s="1158"/>
    </row>
    <row r="497" spans="1:15" x14ac:dyDescent="0.2">
      <c r="A497" s="75"/>
      <c r="B497" s="52">
        <f t="shared" si="9"/>
        <v>1</v>
      </c>
      <c r="C497" s="45"/>
      <c r="D497" s="1156"/>
      <c r="E497" s="1156"/>
      <c r="F497" s="1156"/>
      <c r="G497" s="1156"/>
      <c r="H497" s="1156"/>
      <c r="I497" s="468"/>
      <c r="J497" s="76"/>
      <c r="K497" s="843"/>
      <c r="L497" s="1157"/>
      <c r="M497" s="1158"/>
      <c r="N497" s="1158"/>
      <c r="O497" s="1158"/>
    </row>
    <row r="498" spans="1:15" x14ac:dyDescent="0.2">
      <c r="A498" s="75"/>
      <c r="B498" s="52">
        <f t="shared" si="9"/>
        <v>1</v>
      </c>
      <c r="C498" s="45"/>
      <c r="D498" s="1156"/>
      <c r="E498" s="1156"/>
      <c r="F498" s="1156"/>
      <c r="G498" s="1156"/>
      <c r="H498" s="1156"/>
      <c r="I498" s="468"/>
      <c r="J498" s="76"/>
      <c r="K498" s="843"/>
      <c r="L498" s="1157"/>
      <c r="M498" s="1158"/>
      <c r="N498" s="1158"/>
      <c r="O498" s="1158"/>
    </row>
    <row r="499" spans="1:15" x14ac:dyDescent="0.2">
      <c r="A499" s="75"/>
      <c r="B499" s="52">
        <f t="shared" si="9"/>
        <v>1</v>
      </c>
      <c r="C499" s="45"/>
      <c r="D499" s="1156"/>
      <c r="E499" s="1156"/>
      <c r="F499" s="1156"/>
      <c r="G499" s="1156"/>
      <c r="H499" s="1156"/>
      <c r="I499" s="468"/>
      <c r="J499" s="76"/>
      <c r="K499" s="843"/>
      <c r="L499" s="1157"/>
      <c r="M499" s="1158"/>
      <c r="N499" s="1158"/>
      <c r="O499" s="1158"/>
    </row>
    <row r="500" spans="1:15" x14ac:dyDescent="0.2">
      <c r="A500" s="75"/>
      <c r="B500" s="52">
        <f t="shared" si="9"/>
        <v>1</v>
      </c>
      <c r="C500" s="45"/>
      <c r="D500" s="1156"/>
      <c r="E500" s="1156"/>
      <c r="F500" s="1156"/>
      <c r="G500" s="1156"/>
      <c r="H500" s="1156"/>
      <c r="I500" s="468"/>
      <c r="J500" s="76"/>
      <c r="K500" s="843"/>
      <c r="L500" s="1157"/>
      <c r="M500" s="1158"/>
      <c r="N500" s="1158"/>
      <c r="O500" s="1158"/>
    </row>
    <row r="501" spans="1:15" x14ac:dyDescent="0.2">
      <c r="A501" s="75"/>
      <c r="B501" s="52">
        <f t="shared" si="9"/>
        <v>1</v>
      </c>
      <c r="C501" s="45"/>
      <c r="D501" s="1156"/>
      <c r="E501" s="1156"/>
      <c r="F501" s="1156"/>
      <c r="G501" s="1156"/>
      <c r="H501" s="1156"/>
      <c r="I501" s="468"/>
      <c r="J501" s="76"/>
      <c r="K501" s="843"/>
      <c r="L501" s="1157"/>
      <c r="M501" s="1158"/>
      <c r="N501" s="1158"/>
      <c r="O501" s="1158"/>
    </row>
    <row r="502" spans="1:15" x14ac:dyDescent="0.2">
      <c r="A502" s="75"/>
      <c r="B502" s="52">
        <f t="shared" si="9"/>
        <v>1</v>
      </c>
      <c r="C502" s="45"/>
      <c r="D502" s="1156"/>
      <c r="E502" s="1156"/>
      <c r="F502" s="1156"/>
      <c r="G502" s="1156"/>
      <c r="H502" s="1156"/>
      <c r="I502" s="468"/>
      <c r="J502" s="76"/>
      <c r="K502" s="843"/>
      <c r="L502" s="1157"/>
      <c r="M502" s="1158"/>
      <c r="N502" s="1158"/>
      <c r="O502" s="1158"/>
    </row>
    <row r="503" spans="1:15" x14ac:dyDescent="0.2">
      <c r="A503" s="75"/>
      <c r="B503" s="52">
        <f t="shared" si="9"/>
        <v>1</v>
      </c>
      <c r="C503" s="45"/>
      <c r="D503" s="1156"/>
      <c r="E503" s="1156"/>
      <c r="F503" s="1156"/>
      <c r="G503" s="1156"/>
      <c r="H503" s="1156"/>
      <c r="I503" s="468"/>
      <c r="J503" s="76"/>
      <c r="K503" s="843"/>
      <c r="L503" s="1157"/>
      <c r="M503" s="1158"/>
      <c r="N503" s="1158"/>
      <c r="O503" s="1158"/>
    </row>
    <row r="504" spans="1:15" x14ac:dyDescent="0.2">
      <c r="A504" s="75"/>
      <c r="B504" s="52">
        <f t="shared" si="9"/>
        <v>1</v>
      </c>
      <c r="C504" s="45"/>
      <c r="D504" s="1156"/>
      <c r="E504" s="1156"/>
      <c r="F504" s="1156"/>
      <c r="G504" s="1156"/>
      <c r="H504" s="1156"/>
      <c r="I504" s="468"/>
      <c r="J504" s="76"/>
      <c r="K504" s="843"/>
      <c r="L504" s="1157"/>
      <c r="M504" s="1158"/>
      <c r="N504" s="1158"/>
      <c r="O504" s="1158"/>
    </row>
    <row r="505" spans="1:15" x14ac:dyDescent="0.2">
      <c r="A505" s="75"/>
      <c r="B505" s="52">
        <f t="shared" si="9"/>
        <v>1</v>
      </c>
      <c r="C505" s="45"/>
      <c r="D505" s="1156"/>
      <c r="E505" s="1156"/>
      <c r="F505" s="1156"/>
      <c r="G505" s="1156"/>
      <c r="H505" s="1156"/>
      <c r="I505" s="468"/>
      <c r="J505" s="76"/>
      <c r="K505" s="843"/>
      <c r="L505" s="1157"/>
      <c r="M505" s="1158"/>
      <c r="N505" s="1158"/>
      <c r="O505" s="1158"/>
    </row>
    <row r="506" spans="1:15" x14ac:dyDescent="0.2">
      <c r="A506" s="75"/>
      <c r="B506" s="52">
        <f t="shared" si="9"/>
        <v>1</v>
      </c>
      <c r="C506" s="45"/>
      <c r="D506" s="1156"/>
      <c r="E506" s="1156"/>
      <c r="F506" s="1156"/>
      <c r="G506" s="1156"/>
      <c r="H506" s="1156"/>
      <c r="I506" s="468"/>
      <c r="J506" s="76"/>
      <c r="K506" s="843"/>
      <c r="L506" s="1157"/>
      <c r="M506" s="1158"/>
      <c r="N506" s="1158"/>
      <c r="O506" s="1158"/>
    </row>
    <row r="507" spans="1:15" x14ac:dyDescent="0.2">
      <c r="A507" s="75"/>
      <c r="B507" s="52">
        <f t="shared" si="9"/>
        <v>1</v>
      </c>
      <c r="C507" s="45"/>
      <c r="D507" s="1156"/>
      <c r="E507" s="1156"/>
      <c r="F507" s="1156"/>
      <c r="G507" s="1156"/>
      <c r="H507" s="1156"/>
      <c r="I507" s="468"/>
      <c r="J507" s="76"/>
      <c r="K507" s="843"/>
      <c r="L507" s="1157"/>
      <c r="M507" s="1158"/>
      <c r="N507" s="1158"/>
      <c r="O507" s="1158"/>
    </row>
    <row r="508" spans="1:15" x14ac:dyDescent="0.2">
      <c r="A508" s="75"/>
      <c r="B508" s="52">
        <f t="shared" si="9"/>
        <v>1</v>
      </c>
      <c r="C508" s="45"/>
      <c r="D508" s="1156"/>
      <c r="E508" s="1156"/>
      <c r="F508" s="1156"/>
      <c r="G508" s="1156"/>
      <c r="H508" s="1156"/>
      <c r="I508" s="468"/>
      <c r="J508" s="76"/>
      <c r="K508" s="843"/>
      <c r="L508" s="1157"/>
      <c r="M508" s="1158"/>
      <c r="N508" s="1158"/>
      <c r="O508" s="1158"/>
    </row>
    <row r="509" spans="1:15" x14ac:dyDescent="0.2">
      <c r="A509" s="75"/>
      <c r="B509" s="52">
        <f t="shared" si="9"/>
        <v>1</v>
      </c>
      <c r="C509" s="45"/>
      <c r="D509" s="1156"/>
      <c r="E509" s="1156"/>
      <c r="F509" s="1156"/>
      <c r="G509" s="1156"/>
      <c r="H509" s="1156"/>
      <c r="I509" s="468"/>
      <c r="J509" s="76"/>
      <c r="K509" s="843"/>
      <c r="L509" s="1157"/>
      <c r="M509" s="1158"/>
      <c r="N509" s="1158"/>
      <c r="O509" s="1158"/>
    </row>
    <row r="510" spans="1:15" x14ac:dyDescent="0.2">
      <c r="A510" s="75"/>
      <c r="B510" s="52">
        <f t="shared" si="9"/>
        <v>1</v>
      </c>
      <c r="C510" s="45"/>
      <c r="D510" s="1156"/>
      <c r="E510" s="1156"/>
      <c r="F510" s="1156"/>
      <c r="G510" s="1156"/>
      <c r="H510" s="1156"/>
      <c r="I510" s="468"/>
      <c r="J510" s="76"/>
      <c r="K510" s="843"/>
      <c r="L510" s="1157"/>
      <c r="M510" s="1158"/>
      <c r="N510" s="1158"/>
      <c r="O510" s="1158"/>
    </row>
    <row r="511" spans="1:15" x14ac:dyDescent="0.2">
      <c r="A511" s="75"/>
      <c r="B511" s="52">
        <f t="shared" si="9"/>
        <v>1</v>
      </c>
      <c r="C511" s="45"/>
      <c r="D511" s="1156"/>
      <c r="E511" s="1156"/>
      <c r="F511" s="1156"/>
      <c r="G511" s="1156"/>
      <c r="H511" s="1156"/>
      <c r="I511" s="468"/>
      <c r="J511" s="76"/>
      <c r="K511" s="843"/>
      <c r="L511" s="1157"/>
      <c r="M511" s="1158"/>
      <c r="N511" s="1158"/>
      <c r="O511" s="1158"/>
    </row>
    <row r="512" spans="1:15" x14ac:dyDescent="0.2">
      <c r="A512" s="75"/>
      <c r="B512" s="52">
        <f t="shared" si="9"/>
        <v>1</v>
      </c>
      <c r="C512" s="45"/>
      <c r="D512" s="1156"/>
      <c r="E512" s="1156"/>
      <c r="F512" s="1156"/>
      <c r="G512" s="1156"/>
      <c r="H512" s="1156"/>
      <c r="I512" s="468"/>
      <c r="J512" s="76"/>
      <c r="K512" s="843"/>
      <c r="L512" s="1157"/>
      <c r="M512" s="1158"/>
      <c r="N512" s="1158"/>
      <c r="O512" s="1158"/>
    </row>
    <row r="513" spans="1:15" x14ac:dyDescent="0.2">
      <c r="A513" s="75"/>
      <c r="B513" s="52">
        <f t="shared" si="9"/>
        <v>1</v>
      </c>
      <c r="C513" s="45"/>
      <c r="D513" s="1156"/>
      <c r="E513" s="1156"/>
      <c r="F513" s="1156"/>
      <c r="G513" s="1156"/>
      <c r="H513" s="1156"/>
      <c r="I513" s="468"/>
      <c r="J513" s="76"/>
      <c r="K513" s="843"/>
      <c r="L513" s="1157"/>
      <c r="M513" s="1158"/>
      <c r="N513" s="1158"/>
      <c r="O513" s="1158"/>
    </row>
    <row r="514" spans="1:15" x14ac:dyDescent="0.2">
      <c r="A514" s="75"/>
      <c r="B514" s="52">
        <f t="shared" si="9"/>
        <v>1</v>
      </c>
      <c r="C514" s="45"/>
      <c r="D514" s="1156"/>
      <c r="E514" s="1156"/>
      <c r="F514" s="1156"/>
      <c r="G514" s="1156"/>
      <c r="H514" s="1156"/>
      <c r="I514" s="468"/>
      <c r="J514" s="76"/>
      <c r="K514" s="843"/>
      <c r="L514" s="1157"/>
      <c r="M514" s="1158"/>
      <c r="N514" s="1158"/>
      <c r="O514" s="1158"/>
    </row>
    <row r="515" spans="1:15" x14ac:dyDescent="0.2">
      <c r="A515" s="75"/>
      <c r="B515" s="52">
        <f t="shared" si="9"/>
        <v>1</v>
      </c>
      <c r="C515" s="45"/>
      <c r="D515" s="1156"/>
      <c r="E515" s="1156"/>
      <c r="F515" s="1156"/>
      <c r="G515" s="1156"/>
      <c r="H515" s="1156"/>
      <c r="I515" s="468"/>
      <c r="J515" s="76"/>
      <c r="K515" s="843"/>
      <c r="L515" s="1157"/>
      <c r="M515" s="1158"/>
      <c r="N515" s="1158"/>
      <c r="O515" s="1158"/>
    </row>
    <row r="516" spans="1:15" x14ac:dyDescent="0.2">
      <c r="A516" s="75"/>
      <c r="B516" s="52">
        <f t="shared" si="9"/>
        <v>1</v>
      </c>
      <c r="C516" s="45"/>
      <c r="D516" s="1156"/>
      <c r="E516" s="1156"/>
      <c r="F516" s="1156"/>
      <c r="G516" s="1156"/>
      <c r="H516" s="1156"/>
      <c r="I516" s="468"/>
      <c r="J516" s="76"/>
      <c r="K516" s="843"/>
      <c r="L516" s="1157"/>
      <c r="M516" s="1158"/>
      <c r="N516" s="1158"/>
      <c r="O516" s="1158"/>
    </row>
    <row r="517" spans="1:15" x14ac:dyDescent="0.2">
      <c r="A517" s="75"/>
      <c r="B517" s="52">
        <f t="shared" si="9"/>
        <v>1</v>
      </c>
      <c r="C517" s="45"/>
      <c r="D517" s="1156"/>
      <c r="E517" s="1156"/>
      <c r="F517" s="1156"/>
      <c r="G517" s="1156"/>
      <c r="H517" s="1156"/>
      <c r="I517" s="468"/>
      <c r="J517" s="76"/>
      <c r="K517" s="843"/>
      <c r="L517" s="1157"/>
      <c r="M517" s="1158"/>
      <c r="N517" s="1158"/>
      <c r="O517" s="1158"/>
    </row>
    <row r="518" spans="1:15" x14ac:dyDescent="0.2">
      <c r="A518" s="75"/>
      <c r="B518" s="52">
        <f t="shared" si="9"/>
        <v>1</v>
      </c>
      <c r="C518" s="45"/>
      <c r="D518" s="1156"/>
      <c r="E518" s="1156"/>
      <c r="F518" s="1156"/>
      <c r="G518" s="1156"/>
      <c r="H518" s="1156"/>
      <c r="I518" s="468"/>
      <c r="J518" s="76"/>
      <c r="K518" s="843"/>
      <c r="L518" s="1157"/>
      <c r="M518" s="1158"/>
      <c r="N518" s="1158"/>
      <c r="O518" s="1158"/>
    </row>
    <row r="519" spans="1:15" x14ac:dyDescent="0.2">
      <c r="A519" s="75"/>
      <c r="B519" s="52">
        <f t="shared" si="9"/>
        <v>1</v>
      </c>
      <c r="C519" s="45"/>
      <c r="D519" s="1156"/>
      <c r="E519" s="1156"/>
      <c r="F519" s="1156"/>
      <c r="G519" s="1156"/>
      <c r="H519" s="1156"/>
      <c r="I519" s="468"/>
      <c r="J519" s="76"/>
      <c r="K519" s="843"/>
      <c r="L519" s="1157"/>
      <c r="M519" s="1158"/>
      <c r="N519" s="1158"/>
      <c r="O519" s="1158"/>
    </row>
    <row r="520" spans="1:15" x14ac:dyDescent="0.2">
      <c r="A520" s="75"/>
      <c r="B520" s="52">
        <f t="shared" si="9"/>
        <v>1</v>
      </c>
      <c r="C520" s="45"/>
      <c r="D520" s="1156"/>
      <c r="E520" s="1156"/>
      <c r="F520" s="1156"/>
      <c r="G520" s="1156"/>
      <c r="H520" s="1156"/>
      <c r="I520" s="468"/>
      <c r="J520" s="76"/>
      <c r="K520" s="843"/>
      <c r="L520" s="1157"/>
      <c r="M520" s="1158"/>
      <c r="N520" s="1158"/>
      <c r="O520" s="1158"/>
    </row>
    <row r="521" spans="1:15" x14ac:dyDescent="0.2">
      <c r="A521" s="75"/>
      <c r="B521" s="52">
        <f t="shared" si="9"/>
        <v>1</v>
      </c>
      <c r="C521" s="45"/>
      <c r="D521" s="1156"/>
      <c r="E521" s="1156"/>
      <c r="F521" s="1156"/>
      <c r="G521" s="1156"/>
      <c r="H521" s="1156"/>
      <c r="I521" s="468"/>
      <c r="J521" s="76"/>
      <c r="K521" s="843"/>
      <c r="L521" s="1157"/>
      <c r="M521" s="1158"/>
      <c r="N521" s="1158"/>
      <c r="O521" s="1158"/>
    </row>
    <row r="522" spans="1:15" x14ac:dyDescent="0.2">
      <c r="A522" s="75"/>
      <c r="B522" s="52">
        <f t="shared" si="9"/>
        <v>1</v>
      </c>
      <c r="C522" s="45"/>
      <c r="D522" s="1156"/>
      <c r="E522" s="1156"/>
      <c r="F522" s="1156"/>
      <c r="G522" s="1156"/>
      <c r="H522" s="1156"/>
      <c r="I522" s="468"/>
      <c r="J522" s="76"/>
      <c r="K522" s="843"/>
      <c r="L522" s="1157"/>
      <c r="M522" s="1158"/>
      <c r="N522" s="1158"/>
      <c r="O522" s="1158"/>
    </row>
    <row r="523" spans="1:15" x14ac:dyDescent="0.2">
      <c r="A523" s="75"/>
      <c r="B523" s="52">
        <f t="shared" si="9"/>
        <v>1</v>
      </c>
      <c r="C523" s="45"/>
      <c r="D523" s="1156"/>
      <c r="E523" s="1156"/>
      <c r="F523" s="1156"/>
      <c r="G523" s="1156"/>
      <c r="H523" s="1156"/>
      <c r="I523" s="468"/>
      <c r="J523" s="76"/>
      <c r="K523" s="843"/>
      <c r="L523" s="1157"/>
      <c r="M523" s="1158"/>
      <c r="N523" s="1158"/>
      <c r="O523" s="1158"/>
    </row>
    <row r="524" spans="1:15" x14ac:dyDescent="0.2">
      <c r="A524" s="75"/>
      <c r="B524" s="52">
        <f t="shared" si="9"/>
        <v>1</v>
      </c>
      <c r="C524" s="45"/>
      <c r="D524" s="1156"/>
      <c r="E524" s="1156"/>
      <c r="F524" s="1156"/>
      <c r="G524" s="1156"/>
      <c r="H524" s="1156"/>
      <c r="I524" s="468"/>
      <c r="J524" s="76"/>
      <c r="K524" s="843"/>
      <c r="L524" s="1157"/>
      <c r="M524" s="1158"/>
      <c r="N524" s="1158"/>
      <c r="O524" s="1158"/>
    </row>
    <row r="525" spans="1:15" x14ac:dyDescent="0.2">
      <c r="A525" s="75"/>
      <c r="B525" s="52">
        <f t="shared" si="9"/>
        <v>1</v>
      </c>
      <c r="C525" s="45"/>
      <c r="D525" s="1156"/>
      <c r="E525" s="1156"/>
      <c r="F525" s="1156"/>
      <c r="G525" s="1156"/>
      <c r="H525" s="1156"/>
      <c r="I525" s="468"/>
      <c r="J525" s="76"/>
      <c r="K525" s="843"/>
      <c r="L525" s="1157"/>
      <c r="M525" s="1158"/>
      <c r="N525" s="1158"/>
      <c r="O525" s="1158"/>
    </row>
    <row r="526" spans="1:15" x14ac:dyDescent="0.2">
      <c r="A526" s="75"/>
      <c r="B526" s="52">
        <f t="shared" ref="B526:B589" si="10">MONTH(A526)</f>
        <v>1</v>
      </c>
      <c r="C526" s="45"/>
      <c r="D526" s="1156"/>
      <c r="E526" s="1156"/>
      <c r="F526" s="1156"/>
      <c r="G526" s="1156"/>
      <c r="H526" s="1156"/>
      <c r="I526" s="468"/>
      <c r="J526" s="76"/>
      <c r="K526" s="843"/>
      <c r="L526" s="1157"/>
      <c r="M526" s="1158"/>
      <c r="N526" s="1158"/>
      <c r="O526" s="1158"/>
    </row>
    <row r="527" spans="1:15" x14ac:dyDescent="0.2">
      <c r="A527" s="75"/>
      <c r="B527" s="52">
        <f t="shared" si="10"/>
        <v>1</v>
      </c>
      <c r="C527" s="45"/>
      <c r="D527" s="1156"/>
      <c r="E527" s="1156"/>
      <c r="F527" s="1156"/>
      <c r="G527" s="1156"/>
      <c r="H527" s="1156"/>
      <c r="I527" s="468"/>
      <c r="J527" s="76"/>
      <c r="K527" s="843"/>
      <c r="L527" s="1157"/>
      <c r="M527" s="1158"/>
      <c r="N527" s="1158"/>
      <c r="O527" s="1158"/>
    </row>
    <row r="528" spans="1:15" x14ac:dyDescent="0.2">
      <c r="A528" s="75"/>
      <c r="B528" s="52">
        <f t="shared" si="10"/>
        <v>1</v>
      </c>
      <c r="C528" s="45"/>
      <c r="D528" s="1156"/>
      <c r="E528" s="1156"/>
      <c r="F528" s="1156"/>
      <c r="G528" s="1156"/>
      <c r="H528" s="1156"/>
      <c r="I528" s="468"/>
      <c r="J528" s="76"/>
      <c r="K528" s="843"/>
      <c r="L528" s="1157"/>
      <c r="M528" s="1158"/>
      <c r="N528" s="1158"/>
      <c r="O528" s="1158"/>
    </row>
    <row r="529" spans="1:15" x14ac:dyDescent="0.2">
      <c r="A529" s="75"/>
      <c r="B529" s="52">
        <f t="shared" si="10"/>
        <v>1</v>
      </c>
      <c r="C529" s="45"/>
      <c r="D529" s="1156"/>
      <c r="E529" s="1156"/>
      <c r="F529" s="1156"/>
      <c r="G529" s="1156"/>
      <c r="H529" s="1156"/>
      <c r="I529" s="468"/>
      <c r="J529" s="76"/>
      <c r="K529" s="843"/>
      <c r="L529" s="1157"/>
      <c r="M529" s="1158"/>
      <c r="N529" s="1158"/>
      <c r="O529" s="1158"/>
    </row>
    <row r="530" spans="1:15" x14ac:dyDescent="0.2">
      <c r="A530" s="75"/>
      <c r="B530" s="52">
        <f t="shared" si="10"/>
        <v>1</v>
      </c>
      <c r="C530" s="45"/>
      <c r="D530" s="1156"/>
      <c r="E530" s="1156"/>
      <c r="F530" s="1156"/>
      <c r="G530" s="1156"/>
      <c r="H530" s="1156"/>
      <c r="I530" s="468"/>
      <c r="J530" s="76"/>
      <c r="K530" s="843"/>
      <c r="L530" s="1157"/>
      <c r="M530" s="1158"/>
      <c r="N530" s="1158"/>
      <c r="O530" s="1158"/>
    </row>
    <row r="531" spans="1:15" x14ac:dyDescent="0.2">
      <c r="A531" s="75"/>
      <c r="B531" s="52">
        <f t="shared" si="10"/>
        <v>1</v>
      </c>
      <c r="C531" s="45"/>
      <c r="D531" s="1156"/>
      <c r="E531" s="1156"/>
      <c r="F531" s="1156"/>
      <c r="G531" s="1156"/>
      <c r="H531" s="1156"/>
      <c r="I531" s="468"/>
      <c r="J531" s="76"/>
      <c r="K531" s="843"/>
      <c r="L531" s="1157"/>
      <c r="M531" s="1158"/>
      <c r="N531" s="1158"/>
      <c r="O531" s="1158"/>
    </row>
    <row r="532" spans="1:15" x14ac:dyDescent="0.2">
      <c r="A532" s="75"/>
      <c r="B532" s="52">
        <f t="shared" si="10"/>
        <v>1</v>
      </c>
      <c r="C532" s="45"/>
      <c r="D532" s="1156"/>
      <c r="E532" s="1156"/>
      <c r="F532" s="1156"/>
      <c r="G532" s="1156"/>
      <c r="H532" s="1156"/>
      <c r="I532" s="468"/>
      <c r="J532" s="76"/>
      <c r="K532" s="843"/>
      <c r="L532" s="1157"/>
      <c r="M532" s="1158"/>
      <c r="N532" s="1158"/>
      <c r="O532" s="1158"/>
    </row>
    <row r="533" spans="1:15" x14ac:dyDescent="0.2">
      <c r="A533" s="75"/>
      <c r="B533" s="52">
        <f t="shared" si="10"/>
        <v>1</v>
      </c>
      <c r="C533" s="45"/>
      <c r="D533" s="1156"/>
      <c r="E533" s="1156"/>
      <c r="F533" s="1156"/>
      <c r="G533" s="1156"/>
      <c r="H533" s="1156"/>
      <c r="I533" s="468"/>
      <c r="J533" s="76"/>
      <c r="K533" s="843"/>
      <c r="L533" s="1157"/>
      <c r="M533" s="1158"/>
      <c r="N533" s="1158"/>
      <c r="O533" s="1158"/>
    </row>
    <row r="534" spans="1:15" x14ac:dyDescent="0.2">
      <c r="A534" s="75"/>
      <c r="B534" s="52">
        <f t="shared" si="10"/>
        <v>1</v>
      </c>
      <c r="C534" s="45"/>
      <c r="D534" s="1156"/>
      <c r="E534" s="1156"/>
      <c r="F534" s="1156"/>
      <c r="G534" s="1156"/>
      <c r="H534" s="1156"/>
      <c r="I534" s="468"/>
      <c r="J534" s="76"/>
      <c r="K534" s="843"/>
      <c r="L534" s="1157"/>
      <c r="M534" s="1158"/>
      <c r="N534" s="1158"/>
      <c r="O534" s="1158"/>
    </row>
    <row r="535" spans="1:15" x14ac:dyDescent="0.2">
      <c r="A535" s="75"/>
      <c r="B535" s="52">
        <f t="shared" si="10"/>
        <v>1</v>
      </c>
      <c r="C535" s="45"/>
      <c r="D535" s="1156"/>
      <c r="E535" s="1156"/>
      <c r="F535" s="1156"/>
      <c r="G535" s="1156"/>
      <c r="H535" s="1156"/>
      <c r="I535" s="468"/>
      <c r="J535" s="76"/>
      <c r="K535" s="843"/>
      <c r="L535" s="1157"/>
      <c r="M535" s="1158"/>
      <c r="N535" s="1158"/>
      <c r="O535" s="1158"/>
    </row>
    <row r="536" spans="1:15" x14ac:dyDescent="0.2">
      <c r="A536" s="75"/>
      <c r="B536" s="52">
        <f t="shared" si="10"/>
        <v>1</v>
      </c>
      <c r="C536" s="45"/>
      <c r="D536" s="1156"/>
      <c r="E536" s="1156"/>
      <c r="F536" s="1156"/>
      <c r="G536" s="1156"/>
      <c r="H536" s="1156"/>
      <c r="I536" s="468"/>
      <c r="J536" s="76"/>
      <c r="K536" s="843"/>
      <c r="L536" s="1157"/>
      <c r="M536" s="1158"/>
      <c r="N536" s="1158"/>
      <c r="O536" s="1158"/>
    </row>
    <row r="537" spans="1:15" x14ac:dyDescent="0.2">
      <c r="A537" s="75"/>
      <c r="B537" s="52">
        <f t="shared" si="10"/>
        <v>1</v>
      </c>
      <c r="C537" s="45"/>
      <c r="D537" s="1156"/>
      <c r="E537" s="1156"/>
      <c r="F537" s="1156"/>
      <c r="G537" s="1156"/>
      <c r="H537" s="1156"/>
      <c r="I537" s="468"/>
      <c r="J537" s="76"/>
      <c r="K537" s="843"/>
      <c r="L537" s="1157"/>
      <c r="M537" s="1158"/>
      <c r="N537" s="1158"/>
      <c r="O537" s="1158"/>
    </row>
    <row r="538" spans="1:15" x14ac:dyDescent="0.2">
      <c r="A538" s="75"/>
      <c r="B538" s="52">
        <f t="shared" si="10"/>
        <v>1</v>
      </c>
      <c r="C538" s="45"/>
      <c r="D538" s="1156"/>
      <c r="E538" s="1156"/>
      <c r="F538" s="1156"/>
      <c r="G538" s="1156"/>
      <c r="H538" s="1156"/>
      <c r="I538" s="468"/>
      <c r="J538" s="76"/>
      <c r="K538" s="843"/>
      <c r="L538" s="1157"/>
      <c r="M538" s="1158"/>
      <c r="N538" s="1158"/>
      <c r="O538" s="1158"/>
    </row>
    <row r="539" spans="1:15" x14ac:dyDescent="0.2">
      <c r="A539" s="75"/>
      <c r="B539" s="52">
        <f t="shared" si="10"/>
        <v>1</v>
      </c>
      <c r="C539" s="45"/>
      <c r="D539" s="1156"/>
      <c r="E539" s="1156"/>
      <c r="F539" s="1156"/>
      <c r="G539" s="1156"/>
      <c r="H539" s="1156"/>
      <c r="I539" s="468"/>
      <c r="J539" s="76"/>
      <c r="K539" s="843"/>
      <c r="L539" s="1157"/>
      <c r="M539" s="1158"/>
      <c r="N539" s="1158"/>
      <c r="O539" s="1158"/>
    </row>
    <row r="540" spans="1:15" x14ac:dyDescent="0.2">
      <c r="A540" s="75"/>
      <c r="B540" s="52">
        <f t="shared" si="10"/>
        <v>1</v>
      </c>
      <c r="C540" s="45"/>
      <c r="D540" s="1156"/>
      <c r="E540" s="1156"/>
      <c r="F540" s="1156"/>
      <c r="G540" s="1156"/>
      <c r="H540" s="1156"/>
      <c r="I540" s="468"/>
      <c r="J540" s="76"/>
      <c r="K540" s="843"/>
      <c r="L540" s="1157"/>
      <c r="M540" s="1158"/>
      <c r="N540" s="1158"/>
      <c r="O540" s="1158"/>
    </row>
    <row r="541" spans="1:15" x14ac:dyDescent="0.2">
      <c r="A541" s="75"/>
      <c r="B541" s="52">
        <f t="shared" si="10"/>
        <v>1</v>
      </c>
      <c r="C541" s="45"/>
      <c r="D541" s="1156"/>
      <c r="E541" s="1156"/>
      <c r="F541" s="1156"/>
      <c r="G541" s="1156"/>
      <c r="H541" s="1156"/>
      <c r="I541" s="468"/>
      <c r="J541" s="76"/>
      <c r="K541" s="843"/>
      <c r="L541" s="1157"/>
      <c r="M541" s="1158"/>
      <c r="N541" s="1158"/>
      <c r="O541" s="1158"/>
    </row>
    <row r="542" spans="1:15" x14ac:dyDescent="0.2">
      <c r="A542" s="75"/>
      <c r="B542" s="52">
        <f t="shared" si="10"/>
        <v>1</v>
      </c>
      <c r="C542" s="45"/>
      <c r="D542" s="1156"/>
      <c r="E542" s="1156"/>
      <c r="F542" s="1156"/>
      <c r="G542" s="1156"/>
      <c r="H542" s="1156"/>
      <c r="I542" s="468"/>
      <c r="J542" s="76"/>
      <c r="K542" s="843"/>
      <c r="L542" s="1157"/>
      <c r="M542" s="1158"/>
      <c r="N542" s="1158"/>
      <c r="O542" s="1158"/>
    </row>
    <row r="543" spans="1:15" x14ac:dyDescent="0.2">
      <c r="A543" s="75"/>
      <c r="B543" s="52">
        <f t="shared" si="10"/>
        <v>1</v>
      </c>
      <c r="C543" s="45"/>
      <c r="D543" s="1156"/>
      <c r="E543" s="1156"/>
      <c r="F543" s="1156"/>
      <c r="G543" s="1156"/>
      <c r="H543" s="1156"/>
      <c r="I543" s="468"/>
      <c r="J543" s="76"/>
      <c r="K543" s="843"/>
      <c r="L543" s="1157"/>
      <c r="M543" s="1158"/>
      <c r="N543" s="1158"/>
      <c r="O543" s="1158"/>
    </row>
    <row r="544" spans="1:15" x14ac:dyDescent="0.2">
      <c r="A544" s="75"/>
      <c r="B544" s="52">
        <f t="shared" si="10"/>
        <v>1</v>
      </c>
      <c r="C544" s="45"/>
      <c r="D544" s="1156"/>
      <c r="E544" s="1156"/>
      <c r="F544" s="1156"/>
      <c r="G544" s="1156"/>
      <c r="H544" s="1156"/>
      <c r="I544" s="468"/>
      <c r="J544" s="76"/>
      <c r="K544" s="843"/>
      <c r="L544" s="1157"/>
      <c r="M544" s="1158"/>
      <c r="N544" s="1158"/>
      <c r="O544" s="1158"/>
    </row>
    <row r="545" spans="1:15" x14ac:dyDescent="0.2">
      <c r="A545" s="75"/>
      <c r="B545" s="52">
        <f t="shared" si="10"/>
        <v>1</v>
      </c>
      <c r="C545" s="45"/>
      <c r="D545" s="1156"/>
      <c r="E545" s="1156"/>
      <c r="F545" s="1156"/>
      <c r="G545" s="1156"/>
      <c r="H545" s="1156"/>
      <c r="I545" s="468"/>
      <c r="J545" s="76"/>
      <c r="K545" s="843"/>
      <c r="L545" s="1157"/>
      <c r="M545" s="1158"/>
      <c r="N545" s="1158"/>
      <c r="O545" s="1158"/>
    </row>
    <row r="546" spans="1:15" x14ac:dyDescent="0.2">
      <c r="A546" s="75"/>
      <c r="B546" s="52">
        <f t="shared" si="10"/>
        <v>1</v>
      </c>
      <c r="C546" s="45"/>
      <c r="D546" s="1156"/>
      <c r="E546" s="1156"/>
      <c r="F546" s="1156"/>
      <c r="G546" s="1156"/>
      <c r="H546" s="1156"/>
      <c r="I546" s="468"/>
      <c r="J546" s="76"/>
      <c r="K546" s="843"/>
      <c r="L546" s="1157"/>
      <c r="M546" s="1158"/>
      <c r="N546" s="1158"/>
      <c r="O546" s="1158"/>
    </row>
    <row r="547" spans="1:15" x14ac:dyDescent="0.2">
      <c r="A547" s="75"/>
      <c r="B547" s="52">
        <f t="shared" si="10"/>
        <v>1</v>
      </c>
      <c r="C547" s="45"/>
      <c r="D547" s="1156"/>
      <c r="E547" s="1156"/>
      <c r="F547" s="1156"/>
      <c r="G547" s="1156"/>
      <c r="H547" s="1156"/>
      <c r="I547" s="468"/>
      <c r="J547" s="76"/>
      <c r="K547" s="843"/>
      <c r="L547" s="1157"/>
      <c r="M547" s="1158"/>
      <c r="N547" s="1158"/>
      <c r="O547" s="1158"/>
    </row>
    <row r="548" spans="1:15" x14ac:dyDescent="0.2">
      <c r="A548" s="75"/>
      <c r="B548" s="52">
        <f t="shared" si="10"/>
        <v>1</v>
      </c>
      <c r="C548" s="45"/>
      <c r="D548" s="1156"/>
      <c r="E548" s="1156"/>
      <c r="F548" s="1156"/>
      <c r="G548" s="1156"/>
      <c r="H548" s="1156"/>
      <c r="I548" s="468"/>
      <c r="J548" s="76"/>
      <c r="K548" s="843"/>
      <c r="L548" s="1157"/>
      <c r="M548" s="1158"/>
      <c r="N548" s="1158"/>
      <c r="O548" s="1158"/>
    </row>
    <row r="549" spans="1:15" x14ac:dyDescent="0.2">
      <c r="A549" s="75"/>
      <c r="B549" s="52">
        <f t="shared" si="10"/>
        <v>1</v>
      </c>
      <c r="C549" s="45"/>
      <c r="D549" s="1156"/>
      <c r="E549" s="1156"/>
      <c r="F549" s="1156"/>
      <c r="G549" s="1156"/>
      <c r="H549" s="1156"/>
      <c r="I549" s="468"/>
      <c r="J549" s="76"/>
      <c r="K549" s="843"/>
      <c r="L549" s="1157"/>
      <c r="M549" s="1158"/>
      <c r="N549" s="1158"/>
      <c r="O549" s="1158"/>
    </row>
    <row r="550" spans="1:15" x14ac:dyDescent="0.2">
      <c r="A550" s="75"/>
      <c r="B550" s="52">
        <f t="shared" si="10"/>
        <v>1</v>
      </c>
      <c r="C550" s="45"/>
      <c r="D550" s="1156"/>
      <c r="E550" s="1156"/>
      <c r="F550" s="1156"/>
      <c r="G550" s="1156"/>
      <c r="H550" s="1156"/>
      <c r="I550" s="468"/>
      <c r="J550" s="76"/>
      <c r="K550" s="843"/>
      <c r="L550" s="1157"/>
      <c r="M550" s="1158"/>
      <c r="N550" s="1158"/>
      <c r="O550" s="1158"/>
    </row>
    <row r="551" spans="1:15" x14ac:dyDescent="0.2">
      <c r="A551" s="75"/>
      <c r="B551" s="52">
        <f t="shared" si="10"/>
        <v>1</v>
      </c>
      <c r="C551" s="45"/>
      <c r="D551" s="1156"/>
      <c r="E551" s="1156"/>
      <c r="F551" s="1156"/>
      <c r="G551" s="1156"/>
      <c r="H551" s="1156"/>
      <c r="I551" s="468"/>
      <c r="J551" s="76"/>
      <c r="K551" s="843"/>
      <c r="L551" s="1157"/>
      <c r="M551" s="1158"/>
      <c r="N551" s="1158"/>
      <c r="O551" s="1158"/>
    </row>
    <row r="552" spans="1:15" x14ac:dyDescent="0.2">
      <c r="A552" s="75"/>
      <c r="B552" s="52">
        <f t="shared" si="10"/>
        <v>1</v>
      </c>
      <c r="C552" s="45"/>
      <c r="D552" s="1156"/>
      <c r="E552" s="1156"/>
      <c r="F552" s="1156"/>
      <c r="G552" s="1156"/>
      <c r="H552" s="1156"/>
      <c r="I552" s="468"/>
      <c r="J552" s="76"/>
      <c r="K552" s="843"/>
      <c r="L552" s="1157"/>
      <c r="M552" s="1158"/>
      <c r="N552" s="1158"/>
      <c r="O552" s="1158"/>
    </row>
    <row r="553" spans="1:15" x14ac:dyDescent="0.2">
      <c r="A553" s="75"/>
      <c r="B553" s="52">
        <f t="shared" si="10"/>
        <v>1</v>
      </c>
      <c r="C553" s="45"/>
      <c r="D553" s="1156"/>
      <c r="E553" s="1156"/>
      <c r="F553" s="1156"/>
      <c r="G553" s="1156"/>
      <c r="H553" s="1156"/>
      <c r="I553" s="468"/>
      <c r="J553" s="76"/>
      <c r="K553" s="843"/>
      <c r="L553" s="1157"/>
      <c r="M553" s="1158"/>
      <c r="N553" s="1158"/>
      <c r="O553" s="1158"/>
    </row>
    <row r="554" spans="1:15" x14ac:dyDescent="0.2">
      <c r="A554" s="75"/>
      <c r="B554" s="52">
        <f t="shared" si="10"/>
        <v>1</v>
      </c>
      <c r="C554" s="45"/>
      <c r="D554" s="1156"/>
      <c r="E554" s="1156"/>
      <c r="F554" s="1156"/>
      <c r="G554" s="1156"/>
      <c r="H554" s="1156"/>
      <c r="I554" s="468"/>
      <c r="J554" s="76"/>
      <c r="K554" s="843"/>
      <c r="L554" s="1157"/>
      <c r="M554" s="1158"/>
      <c r="N554" s="1158"/>
      <c r="O554" s="1158"/>
    </row>
    <row r="555" spans="1:15" x14ac:dyDescent="0.2">
      <c r="A555" s="75"/>
      <c r="B555" s="52">
        <f t="shared" si="10"/>
        <v>1</v>
      </c>
      <c r="C555" s="45"/>
      <c r="D555" s="1156"/>
      <c r="E555" s="1156"/>
      <c r="F555" s="1156"/>
      <c r="G555" s="1156"/>
      <c r="H555" s="1156"/>
      <c r="I555" s="468"/>
      <c r="J555" s="76"/>
      <c r="K555" s="843"/>
      <c r="L555" s="1157"/>
      <c r="M555" s="1158"/>
      <c r="N555" s="1158"/>
      <c r="O555" s="1158"/>
    </row>
    <row r="556" spans="1:15" x14ac:dyDescent="0.2">
      <c r="A556" s="75"/>
      <c r="B556" s="52">
        <f t="shared" si="10"/>
        <v>1</v>
      </c>
      <c r="C556" s="45"/>
      <c r="D556" s="1156"/>
      <c r="E556" s="1156"/>
      <c r="F556" s="1156"/>
      <c r="G556" s="1156"/>
      <c r="H556" s="1156"/>
      <c r="I556" s="468"/>
      <c r="J556" s="76"/>
      <c r="K556" s="843"/>
      <c r="L556" s="1157"/>
      <c r="M556" s="1158"/>
      <c r="N556" s="1158"/>
      <c r="O556" s="1158"/>
    </row>
    <row r="557" spans="1:15" x14ac:dyDescent="0.2">
      <c r="A557" s="75"/>
      <c r="B557" s="52">
        <f t="shared" si="10"/>
        <v>1</v>
      </c>
      <c r="C557" s="45"/>
      <c r="D557" s="1156"/>
      <c r="E557" s="1156"/>
      <c r="F557" s="1156"/>
      <c r="G557" s="1156"/>
      <c r="H557" s="1156"/>
      <c r="I557" s="468"/>
      <c r="J557" s="76"/>
      <c r="K557" s="843"/>
      <c r="L557" s="1157"/>
      <c r="M557" s="1158"/>
      <c r="N557" s="1158"/>
      <c r="O557" s="1158"/>
    </row>
    <row r="558" spans="1:15" x14ac:dyDescent="0.2">
      <c r="A558" s="75"/>
      <c r="B558" s="52">
        <f t="shared" si="10"/>
        <v>1</v>
      </c>
      <c r="C558" s="45"/>
      <c r="D558" s="1156"/>
      <c r="E558" s="1156"/>
      <c r="F558" s="1156"/>
      <c r="G558" s="1156"/>
      <c r="H558" s="1156"/>
      <c r="I558" s="468"/>
      <c r="J558" s="76"/>
      <c r="K558" s="843"/>
      <c r="L558" s="1157"/>
      <c r="M558" s="1158"/>
      <c r="N558" s="1158"/>
      <c r="O558" s="1158"/>
    </row>
    <row r="559" spans="1:15" x14ac:dyDescent="0.2">
      <c r="A559" s="75"/>
      <c r="B559" s="52">
        <f t="shared" si="10"/>
        <v>1</v>
      </c>
      <c r="C559" s="45"/>
      <c r="D559" s="1156"/>
      <c r="E559" s="1156"/>
      <c r="F559" s="1156"/>
      <c r="G559" s="1156"/>
      <c r="H559" s="1156"/>
      <c r="I559" s="468"/>
      <c r="J559" s="76"/>
      <c r="K559" s="843"/>
      <c r="L559" s="1157"/>
      <c r="M559" s="1158"/>
      <c r="N559" s="1158"/>
      <c r="O559" s="1158"/>
    </row>
    <row r="560" spans="1:15" x14ac:dyDescent="0.2">
      <c r="A560" s="75"/>
      <c r="B560" s="52">
        <f t="shared" si="10"/>
        <v>1</v>
      </c>
      <c r="C560" s="45"/>
      <c r="D560" s="1156"/>
      <c r="E560" s="1156"/>
      <c r="F560" s="1156"/>
      <c r="G560" s="1156"/>
      <c r="H560" s="1156"/>
      <c r="I560" s="468"/>
      <c r="J560" s="76"/>
      <c r="K560" s="843"/>
      <c r="L560" s="1157"/>
      <c r="M560" s="1158"/>
      <c r="N560" s="1158"/>
      <c r="O560" s="1158"/>
    </row>
    <row r="561" spans="1:15" x14ac:dyDescent="0.2">
      <c r="A561" s="75"/>
      <c r="B561" s="52">
        <f t="shared" si="10"/>
        <v>1</v>
      </c>
      <c r="C561" s="45"/>
      <c r="D561" s="1156"/>
      <c r="E561" s="1156"/>
      <c r="F561" s="1156"/>
      <c r="G561" s="1156"/>
      <c r="H561" s="1156"/>
      <c r="I561" s="468"/>
      <c r="J561" s="76"/>
      <c r="K561" s="843"/>
      <c r="L561" s="1157"/>
      <c r="M561" s="1158"/>
      <c r="N561" s="1158"/>
      <c r="O561" s="1158"/>
    </row>
    <row r="562" spans="1:15" x14ac:dyDescent="0.2">
      <c r="A562" s="75"/>
      <c r="B562" s="52">
        <f t="shared" si="10"/>
        <v>1</v>
      </c>
      <c r="C562" s="45"/>
      <c r="D562" s="1156"/>
      <c r="E562" s="1156"/>
      <c r="F562" s="1156"/>
      <c r="G562" s="1156"/>
      <c r="H562" s="1156"/>
      <c r="I562" s="468"/>
      <c r="J562" s="76"/>
      <c r="K562" s="843"/>
      <c r="L562" s="1157"/>
      <c r="M562" s="1158"/>
      <c r="N562" s="1158"/>
      <c r="O562" s="1158"/>
    </row>
    <row r="563" spans="1:15" x14ac:dyDescent="0.2">
      <c r="A563" s="75"/>
      <c r="B563" s="52">
        <f t="shared" si="10"/>
        <v>1</v>
      </c>
      <c r="C563" s="45"/>
      <c r="D563" s="1156"/>
      <c r="E563" s="1156"/>
      <c r="F563" s="1156"/>
      <c r="G563" s="1156"/>
      <c r="H563" s="1156"/>
      <c r="I563" s="468"/>
      <c r="J563" s="76"/>
      <c r="K563" s="843"/>
      <c r="L563" s="1157"/>
      <c r="M563" s="1158"/>
      <c r="N563" s="1158"/>
      <c r="O563" s="1158"/>
    </row>
    <row r="564" spans="1:15" x14ac:dyDescent="0.2">
      <c r="A564" s="75"/>
      <c r="B564" s="52">
        <f t="shared" si="10"/>
        <v>1</v>
      </c>
      <c r="C564" s="45"/>
      <c r="D564" s="1156"/>
      <c r="E564" s="1156"/>
      <c r="F564" s="1156"/>
      <c r="G564" s="1156"/>
      <c r="H564" s="1156"/>
      <c r="I564" s="468"/>
      <c r="J564" s="76"/>
      <c r="K564" s="843"/>
      <c r="L564" s="1157"/>
      <c r="M564" s="1158"/>
      <c r="N564" s="1158"/>
      <c r="O564" s="1158"/>
    </row>
    <row r="565" spans="1:15" x14ac:dyDescent="0.2">
      <c r="A565" s="75"/>
      <c r="B565" s="52">
        <f t="shared" si="10"/>
        <v>1</v>
      </c>
      <c r="C565" s="45"/>
      <c r="D565" s="1156"/>
      <c r="E565" s="1156"/>
      <c r="F565" s="1156"/>
      <c r="G565" s="1156"/>
      <c r="H565" s="1156"/>
      <c r="I565" s="468"/>
      <c r="J565" s="76"/>
      <c r="K565" s="843"/>
      <c r="L565" s="1157"/>
      <c r="M565" s="1158"/>
      <c r="N565" s="1158"/>
      <c r="O565" s="1158"/>
    </row>
    <row r="566" spans="1:15" x14ac:dyDescent="0.2">
      <c r="A566" s="75"/>
      <c r="B566" s="52">
        <f t="shared" si="10"/>
        <v>1</v>
      </c>
      <c r="C566" s="45"/>
      <c r="D566" s="1156"/>
      <c r="E566" s="1156"/>
      <c r="F566" s="1156"/>
      <c r="G566" s="1156"/>
      <c r="H566" s="1156"/>
      <c r="I566" s="468"/>
      <c r="J566" s="76"/>
      <c r="K566" s="843"/>
      <c r="L566" s="1157"/>
      <c r="M566" s="1158"/>
      <c r="N566" s="1158"/>
      <c r="O566" s="1158"/>
    </row>
    <row r="567" spans="1:15" x14ac:dyDescent="0.2">
      <c r="A567" s="75"/>
      <c r="B567" s="52">
        <f t="shared" si="10"/>
        <v>1</v>
      </c>
      <c r="C567" s="45"/>
      <c r="D567" s="1156"/>
      <c r="E567" s="1156"/>
      <c r="F567" s="1156"/>
      <c r="G567" s="1156"/>
      <c r="H567" s="1156"/>
      <c r="I567" s="468"/>
      <c r="J567" s="76"/>
      <c r="K567" s="843"/>
      <c r="L567" s="1157"/>
      <c r="M567" s="1158"/>
      <c r="N567" s="1158"/>
      <c r="O567" s="1158"/>
    </row>
    <row r="568" spans="1:15" x14ac:dyDescent="0.2">
      <c r="A568" s="75"/>
      <c r="B568" s="52">
        <f t="shared" si="10"/>
        <v>1</v>
      </c>
      <c r="C568" s="45"/>
      <c r="D568" s="1156"/>
      <c r="E568" s="1156"/>
      <c r="F568" s="1156"/>
      <c r="G568" s="1156"/>
      <c r="H568" s="1156"/>
      <c r="I568" s="468"/>
      <c r="J568" s="76"/>
      <c r="K568" s="843"/>
      <c r="L568" s="1157"/>
      <c r="M568" s="1158"/>
      <c r="N568" s="1158"/>
      <c r="O568" s="1158"/>
    </row>
    <row r="569" spans="1:15" x14ac:dyDescent="0.2">
      <c r="A569" s="75"/>
      <c r="B569" s="52">
        <f t="shared" si="10"/>
        <v>1</v>
      </c>
      <c r="C569" s="45"/>
      <c r="D569" s="1156"/>
      <c r="E569" s="1156"/>
      <c r="F569" s="1156"/>
      <c r="G569" s="1156"/>
      <c r="H569" s="1156"/>
      <c r="I569" s="468"/>
      <c r="J569" s="76"/>
      <c r="K569" s="843"/>
      <c r="L569" s="1157"/>
      <c r="M569" s="1158"/>
      <c r="N569" s="1158"/>
      <c r="O569" s="1158"/>
    </row>
    <row r="570" spans="1:15" x14ac:dyDescent="0.2">
      <c r="A570" s="75"/>
      <c r="B570" s="52">
        <f t="shared" si="10"/>
        <v>1</v>
      </c>
      <c r="C570" s="45"/>
      <c r="D570" s="1156"/>
      <c r="E570" s="1156"/>
      <c r="F570" s="1156"/>
      <c r="G570" s="1156"/>
      <c r="H570" s="1156"/>
      <c r="I570" s="468"/>
      <c r="J570" s="76"/>
      <c r="K570" s="843"/>
      <c r="L570" s="1157"/>
      <c r="M570" s="1158"/>
      <c r="N570" s="1158"/>
      <c r="O570" s="1158"/>
    </row>
    <row r="571" spans="1:15" x14ac:dyDescent="0.2">
      <c r="A571" s="75"/>
      <c r="B571" s="52">
        <f t="shared" si="10"/>
        <v>1</v>
      </c>
      <c r="C571" s="45"/>
      <c r="D571" s="1156"/>
      <c r="E571" s="1156"/>
      <c r="F571" s="1156"/>
      <c r="G571" s="1156"/>
      <c r="H571" s="1156"/>
      <c r="I571" s="468"/>
      <c r="J571" s="76"/>
      <c r="K571" s="843"/>
      <c r="L571" s="1157"/>
      <c r="M571" s="1158"/>
      <c r="N571" s="1158"/>
      <c r="O571" s="1158"/>
    </row>
    <row r="572" spans="1:15" x14ac:dyDescent="0.2">
      <c r="A572" s="75"/>
      <c r="B572" s="52">
        <f t="shared" si="10"/>
        <v>1</v>
      </c>
      <c r="C572" s="45"/>
      <c r="D572" s="1156"/>
      <c r="E572" s="1156"/>
      <c r="F572" s="1156"/>
      <c r="G572" s="1156"/>
      <c r="H572" s="1156"/>
      <c r="I572" s="468"/>
      <c r="J572" s="76"/>
      <c r="K572" s="843"/>
      <c r="L572" s="1157"/>
      <c r="M572" s="1158"/>
      <c r="N572" s="1158"/>
      <c r="O572" s="1158"/>
    </row>
    <row r="573" spans="1:15" x14ac:dyDescent="0.2">
      <c r="A573" s="75"/>
      <c r="B573" s="52">
        <f t="shared" si="10"/>
        <v>1</v>
      </c>
      <c r="C573" s="45"/>
      <c r="D573" s="1156"/>
      <c r="E573" s="1156"/>
      <c r="F573" s="1156"/>
      <c r="G573" s="1156"/>
      <c r="H573" s="1156"/>
      <c r="I573" s="468"/>
      <c r="J573" s="76"/>
      <c r="K573" s="843"/>
      <c r="L573" s="1157"/>
      <c r="M573" s="1158"/>
      <c r="N573" s="1158"/>
      <c r="O573" s="1158"/>
    </row>
    <row r="574" spans="1:15" x14ac:dyDescent="0.2">
      <c r="A574" s="75"/>
      <c r="B574" s="52">
        <f t="shared" si="10"/>
        <v>1</v>
      </c>
      <c r="C574" s="45"/>
      <c r="D574" s="1156"/>
      <c r="E574" s="1156"/>
      <c r="F574" s="1156"/>
      <c r="G574" s="1156"/>
      <c r="H574" s="1156"/>
      <c r="I574" s="468"/>
      <c r="J574" s="76"/>
      <c r="K574" s="843"/>
      <c r="L574" s="1157"/>
      <c r="M574" s="1158"/>
      <c r="N574" s="1158"/>
      <c r="O574" s="1158"/>
    </row>
    <row r="575" spans="1:15" x14ac:dyDescent="0.2">
      <c r="A575" s="75"/>
      <c r="B575" s="52">
        <f t="shared" si="10"/>
        <v>1</v>
      </c>
      <c r="C575" s="45"/>
      <c r="D575" s="1156"/>
      <c r="E575" s="1156"/>
      <c r="F575" s="1156"/>
      <c r="G575" s="1156"/>
      <c r="H575" s="1156"/>
      <c r="I575" s="468"/>
      <c r="J575" s="76"/>
      <c r="K575" s="843"/>
      <c r="L575" s="1157"/>
      <c r="M575" s="1158"/>
      <c r="N575" s="1158"/>
      <c r="O575" s="1158"/>
    </row>
    <row r="576" spans="1:15" x14ac:dyDescent="0.2">
      <c r="A576" s="75"/>
      <c r="B576" s="52">
        <f t="shared" si="10"/>
        <v>1</v>
      </c>
      <c r="C576" s="45"/>
      <c r="D576" s="1156"/>
      <c r="E576" s="1156"/>
      <c r="F576" s="1156"/>
      <c r="G576" s="1156"/>
      <c r="H576" s="1156"/>
      <c r="I576" s="468"/>
      <c r="J576" s="76"/>
      <c r="K576" s="843"/>
      <c r="L576" s="1157"/>
      <c r="M576" s="1158"/>
      <c r="N576" s="1158"/>
      <c r="O576" s="1158"/>
    </row>
    <row r="577" spans="1:15" x14ac:dyDescent="0.2">
      <c r="A577" s="75"/>
      <c r="B577" s="52">
        <f t="shared" si="10"/>
        <v>1</v>
      </c>
      <c r="C577" s="45"/>
      <c r="D577" s="1156"/>
      <c r="E577" s="1156"/>
      <c r="F577" s="1156"/>
      <c r="G577" s="1156"/>
      <c r="H577" s="1156"/>
      <c r="I577" s="468"/>
      <c r="J577" s="76"/>
      <c r="K577" s="843"/>
      <c r="L577" s="1157"/>
      <c r="M577" s="1158"/>
      <c r="N577" s="1158"/>
      <c r="O577" s="1158"/>
    </row>
    <row r="578" spans="1:15" x14ac:dyDescent="0.2">
      <c r="A578" s="75"/>
      <c r="B578" s="52">
        <f t="shared" si="10"/>
        <v>1</v>
      </c>
      <c r="C578" s="45"/>
      <c r="D578" s="1156"/>
      <c r="E578" s="1156"/>
      <c r="F578" s="1156"/>
      <c r="G578" s="1156"/>
      <c r="H578" s="1156"/>
      <c r="I578" s="468"/>
      <c r="J578" s="76"/>
      <c r="K578" s="843"/>
      <c r="L578" s="1157"/>
      <c r="M578" s="1158"/>
      <c r="N578" s="1158"/>
      <c r="O578" s="1158"/>
    </row>
    <row r="579" spans="1:15" x14ac:dyDescent="0.2">
      <c r="A579" s="75"/>
      <c r="B579" s="52">
        <f t="shared" si="10"/>
        <v>1</v>
      </c>
      <c r="C579" s="45"/>
      <c r="D579" s="1156"/>
      <c r="E579" s="1156"/>
      <c r="F579" s="1156"/>
      <c r="G579" s="1156"/>
      <c r="H579" s="1156"/>
      <c r="I579" s="468"/>
      <c r="J579" s="76"/>
      <c r="K579" s="843"/>
      <c r="L579" s="1157"/>
      <c r="M579" s="1158"/>
      <c r="N579" s="1158"/>
      <c r="O579" s="1158"/>
    </row>
    <row r="580" spans="1:15" x14ac:dyDescent="0.2">
      <c r="A580" s="75"/>
      <c r="B580" s="52">
        <f t="shared" si="10"/>
        <v>1</v>
      </c>
      <c r="C580" s="45"/>
      <c r="D580" s="1156"/>
      <c r="E580" s="1156"/>
      <c r="F580" s="1156"/>
      <c r="G580" s="1156"/>
      <c r="H580" s="1156"/>
      <c r="I580" s="468"/>
      <c r="J580" s="76"/>
      <c r="K580" s="843"/>
      <c r="L580" s="1157"/>
      <c r="M580" s="1158"/>
      <c r="N580" s="1158"/>
      <c r="O580" s="1158"/>
    </row>
    <row r="581" spans="1:15" x14ac:dyDescent="0.2">
      <c r="A581" s="75"/>
      <c r="B581" s="52">
        <f t="shared" si="10"/>
        <v>1</v>
      </c>
      <c r="C581" s="45"/>
      <c r="D581" s="1156"/>
      <c r="E581" s="1156"/>
      <c r="F581" s="1156"/>
      <c r="G581" s="1156"/>
      <c r="H581" s="1156"/>
      <c r="I581" s="468"/>
      <c r="J581" s="76"/>
      <c r="K581" s="843"/>
      <c r="L581" s="1157"/>
      <c r="M581" s="1158"/>
      <c r="N581" s="1158"/>
      <c r="O581" s="1158"/>
    </row>
    <row r="582" spans="1:15" x14ac:dyDescent="0.2">
      <c r="A582" s="75"/>
      <c r="B582" s="52">
        <f t="shared" si="10"/>
        <v>1</v>
      </c>
      <c r="C582" s="45"/>
      <c r="D582" s="1156"/>
      <c r="E582" s="1156"/>
      <c r="F582" s="1156"/>
      <c r="G582" s="1156"/>
      <c r="H582" s="1156"/>
      <c r="I582" s="468"/>
      <c r="J582" s="76"/>
      <c r="K582" s="843"/>
      <c r="L582" s="1157"/>
      <c r="M582" s="1158"/>
      <c r="N582" s="1158"/>
      <c r="O582" s="1158"/>
    </row>
    <row r="583" spans="1:15" x14ac:dyDescent="0.2">
      <c r="A583" s="75"/>
      <c r="B583" s="52">
        <f t="shared" si="10"/>
        <v>1</v>
      </c>
      <c r="C583" s="45"/>
      <c r="D583" s="1156"/>
      <c r="E583" s="1156"/>
      <c r="F583" s="1156"/>
      <c r="G583" s="1156"/>
      <c r="H583" s="1156"/>
      <c r="I583" s="468"/>
      <c r="J583" s="76"/>
      <c r="K583" s="843"/>
      <c r="L583" s="1157"/>
      <c r="M583" s="1158"/>
      <c r="N583" s="1158"/>
      <c r="O583" s="1158"/>
    </row>
    <row r="584" spans="1:15" x14ac:dyDescent="0.2">
      <c r="A584" s="75"/>
      <c r="B584" s="52">
        <f t="shared" si="10"/>
        <v>1</v>
      </c>
      <c r="C584" s="45"/>
      <c r="D584" s="1156"/>
      <c r="E584" s="1156"/>
      <c r="F584" s="1156"/>
      <c r="G584" s="1156"/>
      <c r="H584" s="1156"/>
      <c r="I584" s="468"/>
      <c r="J584" s="76"/>
      <c r="K584" s="843"/>
      <c r="L584" s="1157"/>
      <c r="M584" s="1158"/>
      <c r="N584" s="1158"/>
      <c r="O584" s="1158"/>
    </row>
    <row r="585" spans="1:15" x14ac:dyDescent="0.2">
      <c r="A585" s="75"/>
      <c r="B585" s="52">
        <f t="shared" si="10"/>
        <v>1</v>
      </c>
      <c r="C585" s="45"/>
      <c r="D585" s="1156"/>
      <c r="E585" s="1156"/>
      <c r="F585" s="1156"/>
      <c r="G585" s="1156"/>
      <c r="H585" s="1156"/>
      <c r="I585" s="468"/>
      <c r="J585" s="76"/>
      <c r="K585" s="843"/>
      <c r="L585" s="1157"/>
      <c r="M585" s="1158"/>
      <c r="N585" s="1158"/>
      <c r="O585" s="1158"/>
    </row>
    <row r="586" spans="1:15" x14ac:dyDescent="0.2">
      <c r="A586" s="75"/>
      <c r="B586" s="52">
        <f t="shared" si="10"/>
        <v>1</v>
      </c>
      <c r="C586" s="45"/>
      <c r="D586" s="1156"/>
      <c r="E586" s="1156"/>
      <c r="F586" s="1156"/>
      <c r="G586" s="1156"/>
      <c r="H586" s="1156"/>
      <c r="I586" s="468"/>
      <c r="J586" s="76"/>
      <c r="K586" s="843"/>
      <c r="L586" s="1157"/>
      <c r="M586" s="1158"/>
      <c r="N586" s="1158"/>
      <c r="O586" s="1158"/>
    </row>
    <row r="587" spans="1:15" x14ac:dyDescent="0.2">
      <c r="A587" s="75"/>
      <c r="B587" s="52">
        <f t="shared" si="10"/>
        <v>1</v>
      </c>
      <c r="C587" s="45"/>
      <c r="D587" s="1156"/>
      <c r="E587" s="1156"/>
      <c r="F587" s="1156"/>
      <c r="G587" s="1156"/>
      <c r="H587" s="1156"/>
      <c r="I587" s="468"/>
      <c r="J587" s="76"/>
      <c r="K587" s="843"/>
      <c r="L587" s="1157"/>
      <c r="M587" s="1158"/>
      <c r="N587" s="1158"/>
      <c r="O587" s="1158"/>
    </row>
    <row r="588" spans="1:15" x14ac:dyDescent="0.2">
      <c r="A588" s="75"/>
      <c r="B588" s="52">
        <f t="shared" si="10"/>
        <v>1</v>
      </c>
      <c r="C588" s="45"/>
      <c r="D588" s="1156"/>
      <c r="E588" s="1156"/>
      <c r="F588" s="1156"/>
      <c r="G588" s="1156"/>
      <c r="H588" s="1156"/>
      <c r="I588" s="468"/>
      <c r="J588" s="76"/>
      <c r="K588" s="843"/>
      <c r="L588" s="1157"/>
      <c r="M588" s="1158"/>
      <c r="N588" s="1158"/>
      <c r="O588" s="1158"/>
    </row>
    <row r="589" spans="1:15" x14ac:dyDescent="0.2">
      <c r="A589" s="75"/>
      <c r="B589" s="52">
        <f t="shared" si="10"/>
        <v>1</v>
      </c>
      <c r="C589" s="45"/>
      <c r="D589" s="1156"/>
      <c r="E589" s="1156"/>
      <c r="F589" s="1156"/>
      <c r="G589" s="1156"/>
      <c r="H589" s="1156"/>
      <c r="I589" s="468"/>
      <c r="J589" s="76"/>
      <c r="K589" s="843"/>
      <c r="L589" s="1157"/>
      <c r="M589" s="1158"/>
      <c r="N589" s="1158"/>
      <c r="O589" s="1158"/>
    </row>
    <row r="590" spans="1:15" x14ac:dyDescent="0.2">
      <c r="A590" s="75"/>
      <c r="B590" s="52">
        <f t="shared" ref="B590:B653" si="11">MONTH(A590)</f>
        <v>1</v>
      </c>
      <c r="C590" s="45"/>
      <c r="D590" s="1156"/>
      <c r="E590" s="1156"/>
      <c r="F590" s="1156"/>
      <c r="G590" s="1156"/>
      <c r="H590" s="1156"/>
      <c r="I590" s="468"/>
      <c r="J590" s="76"/>
      <c r="K590" s="843"/>
      <c r="L590" s="1157"/>
      <c r="M590" s="1158"/>
      <c r="N590" s="1158"/>
      <c r="O590" s="1158"/>
    </row>
    <row r="591" spans="1:15" x14ac:dyDescent="0.2">
      <c r="A591" s="75"/>
      <c r="B591" s="52">
        <f t="shared" si="11"/>
        <v>1</v>
      </c>
      <c r="C591" s="45"/>
      <c r="D591" s="1156"/>
      <c r="E591" s="1156"/>
      <c r="F591" s="1156"/>
      <c r="G591" s="1156"/>
      <c r="H591" s="1156"/>
      <c r="I591" s="468"/>
      <c r="J591" s="76"/>
      <c r="K591" s="843"/>
      <c r="L591" s="1157"/>
      <c r="M591" s="1158"/>
      <c r="N591" s="1158"/>
      <c r="O591" s="1158"/>
    </row>
    <row r="592" spans="1:15" x14ac:dyDescent="0.2">
      <c r="A592" s="75"/>
      <c r="B592" s="52">
        <f t="shared" si="11"/>
        <v>1</v>
      </c>
      <c r="C592" s="45"/>
      <c r="D592" s="1156"/>
      <c r="E592" s="1156"/>
      <c r="F592" s="1156"/>
      <c r="G592" s="1156"/>
      <c r="H592" s="1156"/>
      <c r="I592" s="468"/>
      <c r="J592" s="76"/>
      <c r="K592" s="843"/>
      <c r="L592" s="1157"/>
      <c r="M592" s="1158"/>
      <c r="N592" s="1158"/>
      <c r="O592" s="1158"/>
    </row>
    <row r="593" spans="1:15" x14ac:dyDescent="0.2">
      <c r="A593" s="75"/>
      <c r="B593" s="52">
        <f t="shared" si="11"/>
        <v>1</v>
      </c>
      <c r="C593" s="45"/>
      <c r="D593" s="1156"/>
      <c r="E593" s="1156"/>
      <c r="F593" s="1156"/>
      <c r="G593" s="1156"/>
      <c r="H593" s="1156"/>
      <c r="I593" s="468"/>
      <c r="J593" s="76"/>
      <c r="K593" s="843"/>
      <c r="L593" s="1157"/>
      <c r="M593" s="1158"/>
      <c r="N593" s="1158"/>
      <c r="O593" s="1158"/>
    </row>
    <row r="594" spans="1:15" x14ac:dyDescent="0.2">
      <c r="A594" s="75"/>
      <c r="B594" s="52">
        <f t="shared" si="11"/>
        <v>1</v>
      </c>
      <c r="C594" s="45"/>
      <c r="D594" s="1156"/>
      <c r="E594" s="1156"/>
      <c r="F594" s="1156"/>
      <c r="G594" s="1156"/>
      <c r="H594" s="1156"/>
      <c r="I594" s="468"/>
      <c r="J594" s="76"/>
      <c r="K594" s="843"/>
      <c r="L594" s="1157"/>
      <c r="M594" s="1158"/>
      <c r="N594" s="1158"/>
      <c r="O594" s="1158"/>
    </row>
    <row r="595" spans="1:15" x14ac:dyDescent="0.2">
      <c r="A595" s="75"/>
      <c r="B595" s="52">
        <f t="shared" si="11"/>
        <v>1</v>
      </c>
      <c r="C595" s="45"/>
      <c r="D595" s="1156"/>
      <c r="E595" s="1156"/>
      <c r="F595" s="1156"/>
      <c r="G595" s="1156"/>
      <c r="H595" s="1156"/>
      <c r="I595" s="468"/>
      <c r="J595" s="76"/>
      <c r="K595" s="843"/>
      <c r="L595" s="1157"/>
      <c r="M595" s="1158"/>
      <c r="N595" s="1158"/>
      <c r="O595" s="1158"/>
    </row>
    <row r="596" spans="1:15" x14ac:dyDescent="0.2">
      <c r="A596" s="75"/>
      <c r="B596" s="52">
        <f t="shared" si="11"/>
        <v>1</v>
      </c>
      <c r="C596" s="45"/>
      <c r="D596" s="1156"/>
      <c r="E596" s="1156"/>
      <c r="F596" s="1156"/>
      <c r="G596" s="1156"/>
      <c r="H596" s="1156"/>
      <c r="I596" s="468"/>
      <c r="J596" s="76"/>
      <c r="K596" s="843"/>
      <c r="L596" s="1157"/>
      <c r="M596" s="1158"/>
      <c r="N596" s="1158"/>
      <c r="O596" s="1158"/>
    </row>
    <row r="597" spans="1:15" x14ac:dyDescent="0.2">
      <c r="A597" s="75"/>
      <c r="B597" s="52">
        <f t="shared" si="11"/>
        <v>1</v>
      </c>
      <c r="C597" s="45"/>
      <c r="D597" s="1156"/>
      <c r="E597" s="1156"/>
      <c r="F597" s="1156"/>
      <c r="G597" s="1156"/>
      <c r="H597" s="1156"/>
      <c r="I597" s="468"/>
      <c r="J597" s="76"/>
      <c r="K597" s="843"/>
      <c r="L597" s="1157"/>
      <c r="M597" s="1158"/>
      <c r="N597" s="1158"/>
      <c r="O597" s="1158"/>
    </row>
    <row r="598" spans="1:15" x14ac:dyDescent="0.2">
      <c r="A598" s="75"/>
      <c r="B598" s="52">
        <f t="shared" si="11"/>
        <v>1</v>
      </c>
      <c r="C598" s="45"/>
      <c r="D598" s="1156"/>
      <c r="E598" s="1156"/>
      <c r="F598" s="1156"/>
      <c r="G598" s="1156"/>
      <c r="H598" s="1156"/>
      <c r="I598" s="468"/>
      <c r="J598" s="76"/>
      <c r="K598" s="843"/>
      <c r="L598" s="1157"/>
      <c r="M598" s="1158"/>
      <c r="N598" s="1158"/>
      <c r="O598" s="1158"/>
    </row>
    <row r="599" spans="1:15" x14ac:dyDescent="0.2">
      <c r="A599" s="75"/>
      <c r="B599" s="52">
        <f t="shared" si="11"/>
        <v>1</v>
      </c>
      <c r="C599" s="45"/>
      <c r="D599" s="1156"/>
      <c r="E599" s="1156"/>
      <c r="F599" s="1156"/>
      <c r="G599" s="1156"/>
      <c r="H599" s="1156"/>
      <c r="I599" s="468"/>
      <c r="J599" s="76"/>
      <c r="K599" s="843"/>
      <c r="L599" s="1157"/>
      <c r="M599" s="1158"/>
      <c r="N599" s="1158"/>
      <c r="O599" s="1158"/>
    </row>
    <row r="600" spans="1:15" x14ac:dyDescent="0.2">
      <c r="A600" s="75"/>
      <c r="B600" s="52">
        <f t="shared" si="11"/>
        <v>1</v>
      </c>
      <c r="C600" s="45"/>
      <c r="D600" s="1156"/>
      <c r="E600" s="1156"/>
      <c r="F600" s="1156"/>
      <c r="G600" s="1156"/>
      <c r="H600" s="1156"/>
      <c r="I600" s="468"/>
      <c r="J600" s="76"/>
      <c r="K600" s="843"/>
      <c r="L600" s="1157"/>
      <c r="M600" s="1158"/>
      <c r="N600" s="1158"/>
      <c r="O600" s="1158"/>
    </row>
    <row r="601" spans="1:15" x14ac:dyDescent="0.2">
      <c r="A601" s="75"/>
      <c r="B601" s="52">
        <f t="shared" si="11"/>
        <v>1</v>
      </c>
      <c r="C601" s="45"/>
      <c r="D601" s="1156"/>
      <c r="E601" s="1156"/>
      <c r="F601" s="1156"/>
      <c r="G601" s="1156"/>
      <c r="H601" s="1156"/>
      <c r="I601" s="468"/>
      <c r="J601" s="76"/>
      <c r="K601" s="843"/>
      <c r="L601" s="1157"/>
      <c r="M601" s="1158"/>
      <c r="N601" s="1158"/>
      <c r="O601" s="1158"/>
    </row>
    <row r="602" spans="1:15" x14ac:dyDescent="0.2">
      <c r="A602" s="75"/>
      <c r="B602" s="52">
        <f t="shared" si="11"/>
        <v>1</v>
      </c>
      <c r="C602" s="45"/>
      <c r="D602" s="1156"/>
      <c r="E602" s="1156"/>
      <c r="F602" s="1156"/>
      <c r="G602" s="1156"/>
      <c r="H602" s="1156"/>
      <c r="I602" s="468"/>
      <c r="J602" s="76"/>
      <c r="K602" s="843"/>
      <c r="L602" s="1157"/>
      <c r="M602" s="1158"/>
      <c r="N602" s="1158"/>
      <c r="O602" s="1158"/>
    </row>
    <row r="603" spans="1:15" x14ac:dyDescent="0.2">
      <c r="A603" s="75"/>
      <c r="B603" s="52">
        <f t="shared" si="11"/>
        <v>1</v>
      </c>
      <c r="C603" s="45"/>
      <c r="D603" s="1156"/>
      <c r="E603" s="1156"/>
      <c r="F603" s="1156"/>
      <c r="G603" s="1156"/>
      <c r="H603" s="1156"/>
      <c r="I603" s="468"/>
      <c r="J603" s="76"/>
      <c r="K603" s="843"/>
      <c r="L603" s="1157"/>
      <c r="M603" s="1158"/>
      <c r="N603" s="1158"/>
      <c r="O603" s="1158"/>
    </row>
    <row r="604" spans="1:15" x14ac:dyDescent="0.2">
      <c r="A604" s="75"/>
      <c r="B604" s="52">
        <f t="shared" si="11"/>
        <v>1</v>
      </c>
      <c r="C604" s="45"/>
      <c r="D604" s="1156"/>
      <c r="E604" s="1156"/>
      <c r="F604" s="1156"/>
      <c r="G604" s="1156"/>
      <c r="H604" s="1156"/>
      <c r="I604" s="468"/>
      <c r="J604" s="76"/>
      <c r="K604" s="843"/>
      <c r="L604" s="1157"/>
      <c r="M604" s="1158"/>
      <c r="N604" s="1158"/>
      <c r="O604" s="1158"/>
    </row>
    <row r="605" spans="1:15" x14ac:dyDescent="0.2">
      <c r="A605" s="75"/>
      <c r="B605" s="52">
        <f t="shared" si="11"/>
        <v>1</v>
      </c>
      <c r="C605" s="45"/>
      <c r="D605" s="1156"/>
      <c r="E605" s="1156"/>
      <c r="F605" s="1156"/>
      <c r="G605" s="1156"/>
      <c r="H605" s="1156"/>
      <c r="I605" s="468"/>
      <c r="J605" s="76"/>
      <c r="K605" s="843"/>
      <c r="L605" s="1157"/>
      <c r="M605" s="1158"/>
      <c r="N605" s="1158"/>
      <c r="O605" s="1158"/>
    </row>
    <row r="606" spans="1:15" x14ac:dyDescent="0.2">
      <c r="A606" s="75"/>
      <c r="B606" s="52">
        <f t="shared" si="11"/>
        <v>1</v>
      </c>
      <c r="C606" s="45"/>
      <c r="D606" s="1156"/>
      <c r="E606" s="1156"/>
      <c r="F606" s="1156"/>
      <c r="G606" s="1156"/>
      <c r="H606" s="1156"/>
      <c r="I606" s="468"/>
      <c r="J606" s="76"/>
      <c r="K606" s="843"/>
      <c r="L606" s="1157"/>
      <c r="M606" s="1158"/>
      <c r="N606" s="1158"/>
      <c r="O606" s="1158"/>
    </row>
    <row r="607" spans="1:15" x14ac:dyDescent="0.2">
      <c r="A607" s="75"/>
      <c r="B607" s="52">
        <f t="shared" si="11"/>
        <v>1</v>
      </c>
      <c r="C607" s="45"/>
      <c r="D607" s="1156"/>
      <c r="E607" s="1156"/>
      <c r="F607" s="1156"/>
      <c r="G607" s="1156"/>
      <c r="H607" s="1156"/>
      <c r="I607" s="468"/>
      <c r="J607" s="76"/>
      <c r="K607" s="843"/>
      <c r="L607" s="1157"/>
      <c r="M607" s="1158"/>
      <c r="N607" s="1158"/>
      <c r="O607" s="1158"/>
    </row>
    <row r="608" spans="1:15" x14ac:dyDescent="0.2">
      <c r="A608" s="75"/>
      <c r="B608" s="52">
        <f t="shared" si="11"/>
        <v>1</v>
      </c>
      <c r="C608" s="45"/>
      <c r="D608" s="1156"/>
      <c r="E608" s="1156"/>
      <c r="F608" s="1156"/>
      <c r="G608" s="1156"/>
      <c r="H608" s="1156"/>
      <c r="I608" s="468"/>
      <c r="J608" s="76"/>
      <c r="K608" s="843"/>
      <c r="L608" s="1157"/>
      <c r="M608" s="1158"/>
      <c r="N608" s="1158"/>
      <c r="O608" s="1158"/>
    </row>
    <row r="609" spans="1:15" x14ac:dyDescent="0.2">
      <c r="A609" s="75"/>
      <c r="B609" s="52">
        <f t="shared" si="11"/>
        <v>1</v>
      </c>
      <c r="C609" s="45"/>
      <c r="D609" s="1156"/>
      <c r="E609" s="1156"/>
      <c r="F609" s="1156"/>
      <c r="G609" s="1156"/>
      <c r="H609" s="1156"/>
      <c r="I609" s="468"/>
      <c r="J609" s="76"/>
      <c r="K609" s="843"/>
      <c r="L609" s="1157"/>
      <c r="M609" s="1158"/>
      <c r="N609" s="1158"/>
      <c r="O609" s="1158"/>
    </row>
    <row r="610" spans="1:15" x14ac:dyDescent="0.2">
      <c r="A610" s="75"/>
      <c r="B610" s="52">
        <f t="shared" si="11"/>
        <v>1</v>
      </c>
      <c r="C610" s="45"/>
      <c r="D610" s="1156"/>
      <c r="E610" s="1156"/>
      <c r="F610" s="1156"/>
      <c r="G610" s="1156"/>
      <c r="H610" s="1156"/>
      <c r="I610" s="468"/>
      <c r="J610" s="76"/>
      <c r="K610" s="843"/>
      <c r="L610" s="1157"/>
      <c r="M610" s="1158"/>
      <c r="N610" s="1158"/>
      <c r="O610" s="1158"/>
    </row>
    <row r="611" spans="1:15" x14ac:dyDescent="0.2">
      <c r="A611" s="75"/>
      <c r="B611" s="52">
        <f t="shared" si="11"/>
        <v>1</v>
      </c>
      <c r="C611" s="45"/>
      <c r="D611" s="1156"/>
      <c r="E611" s="1156"/>
      <c r="F611" s="1156"/>
      <c r="G611" s="1156"/>
      <c r="H611" s="1156"/>
      <c r="I611" s="468"/>
      <c r="J611" s="76"/>
      <c r="K611" s="843"/>
      <c r="L611" s="1157"/>
      <c r="M611" s="1158"/>
      <c r="N611" s="1158"/>
      <c r="O611" s="1158"/>
    </row>
    <row r="612" spans="1:15" x14ac:dyDescent="0.2">
      <c r="A612" s="75"/>
      <c r="B612" s="52">
        <f t="shared" si="11"/>
        <v>1</v>
      </c>
      <c r="C612" s="45"/>
      <c r="D612" s="1156"/>
      <c r="E612" s="1156"/>
      <c r="F612" s="1156"/>
      <c r="G612" s="1156"/>
      <c r="H612" s="1156"/>
      <c r="I612" s="468"/>
      <c r="J612" s="76"/>
      <c r="K612" s="843"/>
      <c r="L612" s="1157"/>
      <c r="M612" s="1158"/>
      <c r="N612" s="1158"/>
      <c r="O612" s="1158"/>
    </row>
    <row r="613" spans="1:15" x14ac:dyDescent="0.2">
      <c r="A613" s="75"/>
      <c r="B613" s="52">
        <f t="shared" si="11"/>
        <v>1</v>
      </c>
      <c r="C613" s="45"/>
      <c r="D613" s="1156"/>
      <c r="E613" s="1156"/>
      <c r="F613" s="1156"/>
      <c r="G613" s="1156"/>
      <c r="H613" s="1156"/>
      <c r="I613" s="468"/>
      <c r="J613" s="76"/>
      <c r="K613" s="843"/>
      <c r="L613" s="1157"/>
      <c r="M613" s="1158"/>
      <c r="N613" s="1158"/>
      <c r="O613" s="1158"/>
    </row>
    <row r="614" spans="1:15" x14ac:dyDescent="0.2">
      <c r="A614" s="75"/>
      <c r="B614" s="52">
        <f t="shared" si="11"/>
        <v>1</v>
      </c>
      <c r="C614" s="45"/>
      <c r="D614" s="1156"/>
      <c r="E614" s="1156"/>
      <c r="F614" s="1156"/>
      <c r="G614" s="1156"/>
      <c r="H614" s="1156"/>
      <c r="I614" s="468"/>
      <c r="J614" s="76"/>
      <c r="K614" s="843"/>
      <c r="L614" s="1157"/>
      <c r="M614" s="1158"/>
      <c r="N614" s="1158"/>
      <c r="O614" s="1158"/>
    </row>
    <row r="615" spans="1:15" x14ac:dyDescent="0.2">
      <c r="A615" s="75"/>
      <c r="B615" s="52">
        <f t="shared" si="11"/>
        <v>1</v>
      </c>
      <c r="C615" s="45"/>
      <c r="D615" s="1156"/>
      <c r="E615" s="1156"/>
      <c r="F615" s="1156"/>
      <c r="G615" s="1156"/>
      <c r="H615" s="1156"/>
      <c r="I615" s="468"/>
      <c r="J615" s="76"/>
      <c r="K615" s="843"/>
      <c r="L615" s="1157"/>
      <c r="M615" s="1158"/>
      <c r="N615" s="1158"/>
      <c r="O615" s="1158"/>
    </row>
    <row r="616" spans="1:15" x14ac:dyDescent="0.2">
      <c r="A616" s="75"/>
      <c r="B616" s="52">
        <f t="shared" si="11"/>
        <v>1</v>
      </c>
      <c r="C616" s="45"/>
      <c r="D616" s="1156"/>
      <c r="E616" s="1156"/>
      <c r="F616" s="1156"/>
      <c r="G616" s="1156"/>
      <c r="H616" s="1156"/>
      <c r="I616" s="468"/>
      <c r="J616" s="76"/>
      <c r="K616" s="843"/>
      <c r="L616" s="1157"/>
      <c r="M616" s="1158"/>
      <c r="N616" s="1158"/>
      <c r="O616" s="1158"/>
    </row>
    <row r="617" spans="1:15" x14ac:dyDescent="0.2">
      <c r="A617" s="75"/>
      <c r="B617" s="52">
        <f t="shared" si="11"/>
        <v>1</v>
      </c>
      <c r="C617" s="45"/>
      <c r="D617" s="1156"/>
      <c r="E617" s="1156"/>
      <c r="F617" s="1156"/>
      <c r="G617" s="1156"/>
      <c r="H617" s="1156"/>
      <c r="I617" s="468"/>
      <c r="J617" s="76"/>
      <c r="K617" s="843"/>
      <c r="L617" s="1157"/>
      <c r="M617" s="1158"/>
      <c r="N617" s="1158"/>
      <c r="O617" s="1158"/>
    </row>
    <row r="618" spans="1:15" x14ac:dyDescent="0.2">
      <c r="A618" s="75"/>
      <c r="B618" s="52">
        <f t="shared" si="11"/>
        <v>1</v>
      </c>
      <c r="C618" s="45"/>
      <c r="D618" s="1156"/>
      <c r="E618" s="1156"/>
      <c r="F618" s="1156"/>
      <c r="G618" s="1156"/>
      <c r="H618" s="1156"/>
      <c r="I618" s="468"/>
      <c r="J618" s="76"/>
      <c r="K618" s="843"/>
      <c r="L618" s="1157"/>
      <c r="M618" s="1158"/>
      <c r="N618" s="1158"/>
      <c r="O618" s="1158"/>
    </row>
    <row r="619" spans="1:15" x14ac:dyDescent="0.2">
      <c r="A619" s="75"/>
      <c r="B619" s="52">
        <f t="shared" si="11"/>
        <v>1</v>
      </c>
      <c r="C619" s="45"/>
      <c r="D619" s="1156"/>
      <c r="E619" s="1156"/>
      <c r="F619" s="1156"/>
      <c r="G619" s="1156"/>
      <c r="H619" s="1156"/>
      <c r="I619" s="468"/>
      <c r="J619" s="76"/>
      <c r="K619" s="843"/>
      <c r="L619" s="1157"/>
      <c r="M619" s="1158"/>
      <c r="N619" s="1158"/>
      <c r="O619" s="1158"/>
    </row>
    <row r="620" spans="1:15" x14ac:dyDescent="0.2">
      <c r="A620" s="75"/>
      <c r="B620" s="52">
        <f t="shared" si="11"/>
        <v>1</v>
      </c>
      <c r="C620" s="45"/>
      <c r="D620" s="1156"/>
      <c r="E620" s="1156"/>
      <c r="F620" s="1156"/>
      <c r="G620" s="1156"/>
      <c r="H620" s="1156"/>
      <c r="I620" s="468"/>
      <c r="J620" s="76"/>
      <c r="K620" s="843"/>
      <c r="L620" s="1157"/>
      <c r="M620" s="1158"/>
      <c r="N620" s="1158"/>
      <c r="O620" s="1158"/>
    </row>
    <row r="621" spans="1:15" x14ac:dyDescent="0.2">
      <c r="A621" s="75"/>
      <c r="B621" s="52">
        <f t="shared" si="11"/>
        <v>1</v>
      </c>
      <c r="C621" s="45"/>
      <c r="D621" s="1156"/>
      <c r="E621" s="1156"/>
      <c r="F621" s="1156"/>
      <c r="G621" s="1156"/>
      <c r="H621" s="1156"/>
      <c r="I621" s="468"/>
      <c r="J621" s="76"/>
      <c r="K621" s="843"/>
      <c r="L621" s="1157"/>
      <c r="M621" s="1158"/>
      <c r="N621" s="1158"/>
      <c r="O621" s="1158"/>
    </row>
    <row r="622" spans="1:15" x14ac:dyDescent="0.2">
      <c r="A622" s="75"/>
      <c r="B622" s="52">
        <f t="shared" si="11"/>
        <v>1</v>
      </c>
      <c r="C622" s="45"/>
      <c r="D622" s="1156"/>
      <c r="E622" s="1156"/>
      <c r="F622" s="1156"/>
      <c r="G622" s="1156"/>
      <c r="H622" s="1156"/>
      <c r="I622" s="468"/>
      <c r="J622" s="76"/>
      <c r="K622" s="843"/>
      <c r="L622" s="1157"/>
      <c r="M622" s="1158"/>
      <c r="N622" s="1158"/>
      <c r="O622" s="1158"/>
    </row>
    <row r="623" spans="1:15" x14ac:dyDescent="0.2">
      <c r="A623" s="75"/>
      <c r="B623" s="52">
        <f t="shared" si="11"/>
        <v>1</v>
      </c>
      <c r="C623" s="45"/>
      <c r="D623" s="1156"/>
      <c r="E623" s="1156"/>
      <c r="F623" s="1156"/>
      <c r="G623" s="1156"/>
      <c r="H623" s="1156"/>
      <c r="I623" s="468"/>
      <c r="J623" s="76"/>
      <c r="K623" s="843"/>
      <c r="L623" s="1157"/>
      <c r="M623" s="1158"/>
      <c r="N623" s="1158"/>
      <c r="O623" s="1158"/>
    </row>
    <row r="624" spans="1:15" x14ac:dyDescent="0.2">
      <c r="A624" s="75"/>
      <c r="B624" s="52">
        <f t="shared" si="11"/>
        <v>1</v>
      </c>
      <c r="C624" s="45"/>
      <c r="D624" s="1156"/>
      <c r="E624" s="1156"/>
      <c r="F624" s="1156"/>
      <c r="G624" s="1156"/>
      <c r="H624" s="1156"/>
      <c r="I624" s="468"/>
      <c r="J624" s="76"/>
      <c r="K624" s="843"/>
      <c r="L624" s="1157"/>
      <c r="M624" s="1158"/>
      <c r="N624" s="1158"/>
      <c r="O624" s="1158"/>
    </row>
    <row r="625" spans="1:15" x14ac:dyDescent="0.2">
      <c r="A625" s="75"/>
      <c r="B625" s="52">
        <f t="shared" si="11"/>
        <v>1</v>
      </c>
      <c r="C625" s="45"/>
      <c r="D625" s="1156"/>
      <c r="E625" s="1156"/>
      <c r="F625" s="1156"/>
      <c r="G625" s="1156"/>
      <c r="H625" s="1156"/>
      <c r="I625" s="468"/>
      <c r="J625" s="76"/>
      <c r="K625" s="843"/>
      <c r="L625" s="1157"/>
      <c r="M625" s="1158"/>
      <c r="N625" s="1158"/>
      <c r="O625" s="1158"/>
    </row>
    <row r="626" spans="1:15" x14ac:dyDescent="0.2">
      <c r="A626" s="75"/>
      <c r="B626" s="52">
        <f t="shared" si="11"/>
        <v>1</v>
      </c>
      <c r="C626" s="45"/>
      <c r="D626" s="1156"/>
      <c r="E626" s="1156"/>
      <c r="F626" s="1156"/>
      <c r="G626" s="1156"/>
      <c r="H626" s="1156"/>
      <c r="I626" s="468"/>
      <c r="J626" s="76"/>
      <c r="K626" s="843"/>
      <c r="L626" s="1157"/>
      <c r="M626" s="1158"/>
      <c r="N626" s="1158"/>
      <c r="O626" s="1158"/>
    </row>
    <row r="627" spans="1:15" x14ac:dyDescent="0.2">
      <c r="A627" s="75"/>
      <c r="B627" s="52">
        <f t="shared" si="11"/>
        <v>1</v>
      </c>
      <c r="C627" s="45"/>
      <c r="D627" s="1156"/>
      <c r="E627" s="1156"/>
      <c r="F627" s="1156"/>
      <c r="G627" s="1156"/>
      <c r="H627" s="1156"/>
      <c r="I627" s="468"/>
      <c r="J627" s="76"/>
      <c r="K627" s="843"/>
      <c r="L627" s="1157"/>
      <c r="M627" s="1158"/>
      <c r="N627" s="1158"/>
      <c r="O627" s="1158"/>
    </row>
    <row r="628" spans="1:15" x14ac:dyDescent="0.2">
      <c r="A628" s="75"/>
      <c r="B628" s="52">
        <f t="shared" si="11"/>
        <v>1</v>
      </c>
      <c r="C628" s="45"/>
      <c r="D628" s="1156"/>
      <c r="E628" s="1156"/>
      <c r="F628" s="1156"/>
      <c r="G628" s="1156"/>
      <c r="H628" s="1156"/>
      <c r="I628" s="468"/>
      <c r="J628" s="76"/>
      <c r="K628" s="843"/>
      <c r="L628" s="1157"/>
      <c r="M628" s="1158"/>
      <c r="N628" s="1158"/>
      <c r="O628" s="1158"/>
    </row>
    <row r="629" spans="1:15" x14ac:dyDescent="0.2">
      <c r="A629" s="75"/>
      <c r="B629" s="52">
        <f t="shared" si="11"/>
        <v>1</v>
      </c>
      <c r="C629" s="45"/>
      <c r="D629" s="1156"/>
      <c r="E629" s="1156"/>
      <c r="F629" s="1156"/>
      <c r="G629" s="1156"/>
      <c r="H629" s="1156"/>
      <c r="I629" s="468"/>
      <c r="J629" s="76"/>
      <c r="K629" s="843"/>
      <c r="L629" s="1157"/>
      <c r="M629" s="1158"/>
      <c r="N629" s="1158"/>
      <c r="O629" s="1158"/>
    </row>
    <row r="630" spans="1:15" x14ac:dyDescent="0.2">
      <c r="A630" s="75"/>
      <c r="B630" s="52">
        <f t="shared" si="11"/>
        <v>1</v>
      </c>
      <c r="C630" s="45"/>
      <c r="D630" s="1156"/>
      <c r="E630" s="1156"/>
      <c r="F630" s="1156"/>
      <c r="G630" s="1156"/>
      <c r="H630" s="1156"/>
      <c r="I630" s="468"/>
      <c r="J630" s="76"/>
      <c r="K630" s="843"/>
      <c r="L630" s="1157"/>
      <c r="M630" s="1158"/>
      <c r="N630" s="1158"/>
      <c r="O630" s="1158"/>
    </row>
    <row r="631" spans="1:15" x14ac:dyDescent="0.2">
      <c r="A631" s="75"/>
      <c r="B631" s="52">
        <f t="shared" si="11"/>
        <v>1</v>
      </c>
      <c r="C631" s="45"/>
      <c r="D631" s="1156"/>
      <c r="E631" s="1156"/>
      <c r="F631" s="1156"/>
      <c r="G631" s="1156"/>
      <c r="H631" s="1156"/>
      <c r="I631" s="468"/>
      <c r="J631" s="76"/>
      <c r="K631" s="843"/>
      <c r="L631" s="1157"/>
      <c r="M631" s="1158"/>
      <c r="N631" s="1158"/>
      <c r="O631" s="1158"/>
    </row>
    <row r="632" spans="1:15" x14ac:dyDescent="0.2">
      <c r="A632" s="75"/>
      <c r="B632" s="52">
        <f t="shared" si="11"/>
        <v>1</v>
      </c>
      <c r="C632" s="45"/>
      <c r="D632" s="1156"/>
      <c r="E632" s="1156"/>
      <c r="F632" s="1156"/>
      <c r="G632" s="1156"/>
      <c r="H632" s="1156"/>
      <c r="I632" s="468"/>
      <c r="J632" s="76"/>
      <c r="K632" s="843"/>
      <c r="L632" s="1157"/>
      <c r="M632" s="1158"/>
      <c r="N632" s="1158"/>
      <c r="O632" s="1158"/>
    </row>
    <row r="633" spans="1:15" x14ac:dyDescent="0.2">
      <c r="A633" s="75"/>
      <c r="B633" s="52">
        <f t="shared" si="11"/>
        <v>1</v>
      </c>
      <c r="C633" s="45"/>
      <c r="D633" s="1156"/>
      <c r="E633" s="1156"/>
      <c r="F633" s="1156"/>
      <c r="G633" s="1156"/>
      <c r="H633" s="1156"/>
      <c r="I633" s="468"/>
      <c r="J633" s="76"/>
      <c r="K633" s="843"/>
      <c r="L633" s="1157"/>
      <c r="M633" s="1158"/>
      <c r="N633" s="1158"/>
      <c r="O633" s="1158"/>
    </row>
    <row r="634" spans="1:15" x14ac:dyDescent="0.2">
      <c r="A634" s="75"/>
      <c r="B634" s="52">
        <f t="shared" si="11"/>
        <v>1</v>
      </c>
      <c r="C634" s="45"/>
      <c r="D634" s="1156"/>
      <c r="E634" s="1156"/>
      <c r="F634" s="1156"/>
      <c r="G634" s="1156"/>
      <c r="H634" s="1156"/>
      <c r="I634" s="468"/>
      <c r="J634" s="76"/>
      <c r="K634" s="843"/>
      <c r="L634" s="1157"/>
      <c r="M634" s="1158"/>
      <c r="N634" s="1158"/>
      <c r="O634" s="1158"/>
    </row>
    <row r="635" spans="1:15" x14ac:dyDescent="0.2">
      <c r="A635" s="75"/>
      <c r="B635" s="52">
        <f t="shared" si="11"/>
        <v>1</v>
      </c>
      <c r="C635" s="45"/>
      <c r="D635" s="1156"/>
      <c r="E635" s="1156"/>
      <c r="F635" s="1156"/>
      <c r="G635" s="1156"/>
      <c r="H635" s="1156"/>
      <c r="I635" s="468"/>
      <c r="J635" s="76"/>
      <c r="K635" s="843"/>
      <c r="L635" s="1157"/>
      <c r="M635" s="1158"/>
      <c r="N635" s="1158"/>
      <c r="O635" s="1158"/>
    </row>
    <row r="636" spans="1:15" x14ac:dyDescent="0.2">
      <c r="A636" s="75"/>
      <c r="B636" s="52">
        <f t="shared" si="11"/>
        <v>1</v>
      </c>
      <c r="C636" s="45"/>
      <c r="D636" s="1156"/>
      <c r="E636" s="1156"/>
      <c r="F636" s="1156"/>
      <c r="G636" s="1156"/>
      <c r="H636" s="1156"/>
      <c r="I636" s="468"/>
      <c r="J636" s="76"/>
      <c r="K636" s="843"/>
      <c r="L636" s="1157"/>
      <c r="M636" s="1158"/>
      <c r="N636" s="1158"/>
      <c r="O636" s="1158"/>
    </row>
    <row r="637" spans="1:15" x14ac:dyDescent="0.2">
      <c r="A637" s="75"/>
      <c r="B637" s="52">
        <f t="shared" si="11"/>
        <v>1</v>
      </c>
      <c r="C637" s="45"/>
      <c r="D637" s="1156"/>
      <c r="E637" s="1156"/>
      <c r="F637" s="1156"/>
      <c r="G637" s="1156"/>
      <c r="H637" s="1156"/>
      <c r="I637" s="468"/>
      <c r="J637" s="76"/>
      <c r="K637" s="843"/>
      <c r="L637" s="1157"/>
      <c r="M637" s="1158"/>
      <c r="N637" s="1158"/>
      <c r="O637" s="1158"/>
    </row>
    <row r="638" spans="1:15" x14ac:dyDescent="0.2">
      <c r="A638" s="75"/>
      <c r="B638" s="52">
        <f t="shared" si="11"/>
        <v>1</v>
      </c>
      <c r="C638" s="45"/>
      <c r="D638" s="1156"/>
      <c r="E638" s="1156"/>
      <c r="F638" s="1156"/>
      <c r="G638" s="1156"/>
      <c r="H638" s="1156"/>
      <c r="I638" s="468"/>
      <c r="J638" s="76"/>
      <c r="K638" s="843"/>
      <c r="L638" s="1157"/>
      <c r="M638" s="1158"/>
      <c r="N638" s="1158"/>
      <c r="O638" s="1158"/>
    </row>
    <row r="639" spans="1:15" x14ac:dyDescent="0.2">
      <c r="A639" s="75"/>
      <c r="B639" s="52">
        <f t="shared" si="11"/>
        <v>1</v>
      </c>
      <c r="C639" s="45"/>
      <c r="D639" s="1156"/>
      <c r="E639" s="1156"/>
      <c r="F639" s="1156"/>
      <c r="G639" s="1156"/>
      <c r="H639" s="1156"/>
      <c r="I639" s="468"/>
      <c r="J639" s="76"/>
      <c r="K639" s="843"/>
      <c r="L639" s="1157"/>
      <c r="M639" s="1158"/>
      <c r="N639" s="1158"/>
      <c r="O639" s="1158"/>
    </row>
    <row r="640" spans="1:15" x14ac:dyDescent="0.2">
      <c r="A640" s="75"/>
      <c r="B640" s="52">
        <f t="shared" si="11"/>
        <v>1</v>
      </c>
      <c r="C640" s="45"/>
      <c r="D640" s="1156"/>
      <c r="E640" s="1156"/>
      <c r="F640" s="1156"/>
      <c r="G640" s="1156"/>
      <c r="H640" s="1156"/>
      <c r="I640" s="468"/>
      <c r="J640" s="76"/>
      <c r="K640" s="843"/>
      <c r="L640" s="1157"/>
      <c r="M640" s="1158"/>
      <c r="N640" s="1158"/>
      <c r="O640" s="1158"/>
    </row>
    <row r="641" spans="1:15" x14ac:dyDescent="0.2">
      <c r="A641" s="75"/>
      <c r="B641" s="52">
        <f t="shared" si="11"/>
        <v>1</v>
      </c>
      <c r="C641" s="45"/>
      <c r="D641" s="1156"/>
      <c r="E641" s="1156"/>
      <c r="F641" s="1156"/>
      <c r="G641" s="1156"/>
      <c r="H641" s="1156"/>
      <c r="I641" s="468"/>
      <c r="J641" s="76"/>
      <c r="K641" s="843"/>
      <c r="L641" s="1157"/>
      <c r="M641" s="1158"/>
      <c r="N641" s="1158"/>
      <c r="O641" s="1158"/>
    </row>
    <row r="642" spans="1:15" x14ac:dyDescent="0.2">
      <c r="A642" s="75"/>
      <c r="B642" s="52">
        <f t="shared" si="11"/>
        <v>1</v>
      </c>
      <c r="C642" s="45"/>
      <c r="D642" s="1156"/>
      <c r="E642" s="1156"/>
      <c r="F642" s="1156"/>
      <c r="G642" s="1156"/>
      <c r="H642" s="1156"/>
      <c r="I642" s="468"/>
      <c r="J642" s="76"/>
      <c r="K642" s="843"/>
      <c r="L642" s="1157"/>
      <c r="M642" s="1158"/>
      <c r="N642" s="1158"/>
      <c r="O642" s="1158"/>
    </row>
    <row r="643" spans="1:15" x14ac:dyDescent="0.2">
      <c r="A643" s="75"/>
      <c r="B643" s="52">
        <f t="shared" si="11"/>
        <v>1</v>
      </c>
      <c r="C643" s="45"/>
      <c r="D643" s="1156"/>
      <c r="E643" s="1156"/>
      <c r="F643" s="1156"/>
      <c r="G643" s="1156"/>
      <c r="H643" s="1156"/>
      <c r="I643" s="468"/>
      <c r="J643" s="76"/>
      <c r="K643" s="843"/>
      <c r="L643" s="1157"/>
      <c r="M643" s="1158"/>
      <c r="N643" s="1158"/>
      <c r="O643" s="1158"/>
    </row>
    <row r="644" spans="1:15" x14ac:dyDescent="0.2">
      <c r="A644" s="75"/>
      <c r="B644" s="52">
        <f t="shared" si="11"/>
        <v>1</v>
      </c>
      <c r="C644" s="45"/>
      <c r="D644" s="1156"/>
      <c r="E644" s="1156"/>
      <c r="F644" s="1156"/>
      <c r="G644" s="1156"/>
      <c r="H644" s="1156"/>
      <c r="I644" s="468"/>
      <c r="J644" s="76"/>
      <c r="K644" s="843"/>
      <c r="L644" s="1157"/>
      <c r="M644" s="1158"/>
      <c r="N644" s="1158"/>
      <c r="O644" s="1158"/>
    </row>
    <row r="645" spans="1:15" x14ac:dyDescent="0.2">
      <c r="A645" s="75"/>
      <c r="B645" s="52">
        <f t="shared" si="11"/>
        <v>1</v>
      </c>
      <c r="C645" s="45"/>
      <c r="D645" s="1156"/>
      <c r="E645" s="1156"/>
      <c r="F645" s="1156"/>
      <c r="G645" s="1156"/>
      <c r="H645" s="1156"/>
      <c r="I645" s="468"/>
      <c r="J645" s="76"/>
      <c r="K645" s="843"/>
      <c r="L645" s="1157"/>
      <c r="M645" s="1158"/>
      <c r="N645" s="1158"/>
      <c r="O645" s="1158"/>
    </row>
    <row r="646" spans="1:15" x14ac:dyDescent="0.2">
      <c r="A646" s="75"/>
      <c r="B646" s="52">
        <f t="shared" si="11"/>
        <v>1</v>
      </c>
      <c r="C646" s="45"/>
      <c r="D646" s="1156"/>
      <c r="E646" s="1156"/>
      <c r="F646" s="1156"/>
      <c r="G646" s="1156"/>
      <c r="H646" s="1156"/>
      <c r="I646" s="468"/>
      <c r="J646" s="76"/>
      <c r="K646" s="843"/>
      <c r="L646" s="1157"/>
      <c r="M646" s="1158"/>
      <c r="N646" s="1158"/>
      <c r="O646" s="1158"/>
    </row>
    <row r="647" spans="1:15" x14ac:dyDescent="0.2">
      <c r="A647" s="75"/>
      <c r="B647" s="52">
        <f t="shared" si="11"/>
        <v>1</v>
      </c>
      <c r="C647" s="45"/>
      <c r="D647" s="1156"/>
      <c r="E647" s="1156"/>
      <c r="F647" s="1156"/>
      <c r="G647" s="1156"/>
      <c r="H647" s="1156"/>
      <c r="I647" s="468"/>
      <c r="J647" s="76"/>
      <c r="K647" s="843"/>
      <c r="L647" s="1157"/>
      <c r="M647" s="1158"/>
      <c r="N647" s="1158"/>
      <c r="O647" s="1158"/>
    </row>
    <row r="648" spans="1:15" x14ac:dyDescent="0.2">
      <c r="A648" s="75"/>
      <c r="B648" s="52">
        <f t="shared" si="11"/>
        <v>1</v>
      </c>
      <c r="C648" s="45"/>
      <c r="D648" s="1156"/>
      <c r="E648" s="1156"/>
      <c r="F648" s="1156"/>
      <c r="G648" s="1156"/>
      <c r="H648" s="1156"/>
      <c r="I648" s="468"/>
      <c r="J648" s="76"/>
      <c r="K648" s="843"/>
      <c r="L648" s="1157"/>
      <c r="M648" s="1158"/>
      <c r="N648" s="1158"/>
      <c r="O648" s="1158"/>
    </row>
    <row r="649" spans="1:15" x14ac:dyDescent="0.2">
      <c r="A649" s="75"/>
      <c r="B649" s="52">
        <f t="shared" si="11"/>
        <v>1</v>
      </c>
      <c r="C649" s="45"/>
      <c r="D649" s="1156"/>
      <c r="E649" s="1156"/>
      <c r="F649" s="1156"/>
      <c r="G649" s="1156"/>
      <c r="H649" s="1156"/>
      <c r="I649" s="468"/>
      <c r="J649" s="76"/>
      <c r="K649" s="843"/>
      <c r="L649" s="1157"/>
      <c r="M649" s="1158"/>
      <c r="N649" s="1158"/>
      <c r="O649" s="1158"/>
    </row>
    <row r="650" spans="1:15" x14ac:dyDescent="0.2">
      <c r="A650" s="75"/>
      <c r="B650" s="52">
        <f t="shared" si="11"/>
        <v>1</v>
      </c>
      <c r="C650" s="45"/>
      <c r="D650" s="1156"/>
      <c r="E650" s="1156"/>
      <c r="F650" s="1156"/>
      <c r="G650" s="1156"/>
      <c r="H650" s="1156"/>
      <c r="I650" s="468"/>
      <c r="J650" s="76"/>
      <c r="K650" s="843"/>
      <c r="L650" s="1157"/>
      <c r="M650" s="1158"/>
      <c r="N650" s="1158"/>
      <c r="O650" s="1158"/>
    </row>
    <row r="651" spans="1:15" x14ac:dyDescent="0.2">
      <c r="A651" s="75"/>
      <c r="B651" s="52">
        <f t="shared" si="11"/>
        <v>1</v>
      </c>
      <c r="C651" s="45"/>
      <c r="D651" s="1156"/>
      <c r="E651" s="1156"/>
      <c r="F651" s="1156"/>
      <c r="G651" s="1156"/>
      <c r="H651" s="1156"/>
      <c r="I651" s="468"/>
      <c r="J651" s="76"/>
      <c r="K651" s="843"/>
      <c r="L651" s="1157"/>
      <c r="M651" s="1158"/>
      <c r="N651" s="1158"/>
      <c r="O651" s="1158"/>
    </row>
    <row r="652" spans="1:15" x14ac:dyDescent="0.2">
      <c r="A652" s="75"/>
      <c r="B652" s="52">
        <f t="shared" si="11"/>
        <v>1</v>
      </c>
      <c r="C652" s="45"/>
      <c r="D652" s="1156"/>
      <c r="E652" s="1156"/>
      <c r="F652" s="1156"/>
      <c r="G652" s="1156"/>
      <c r="H652" s="1156"/>
      <c r="I652" s="468"/>
      <c r="J652" s="76"/>
      <c r="K652" s="843"/>
      <c r="L652" s="1157"/>
      <c r="M652" s="1158"/>
      <c r="N652" s="1158"/>
      <c r="O652" s="1158"/>
    </row>
    <row r="653" spans="1:15" x14ac:dyDescent="0.2">
      <c r="A653" s="75"/>
      <c r="B653" s="52">
        <f t="shared" si="11"/>
        <v>1</v>
      </c>
      <c r="C653" s="45"/>
      <c r="D653" s="1156"/>
      <c r="E653" s="1156"/>
      <c r="F653" s="1156"/>
      <c r="G653" s="1156"/>
      <c r="H653" s="1156"/>
      <c r="I653" s="468"/>
      <c r="J653" s="76"/>
      <c r="K653" s="843"/>
      <c r="L653" s="1157"/>
      <c r="M653" s="1158"/>
      <c r="N653" s="1158"/>
      <c r="O653" s="1158"/>
    </row>
    <row r="654" spans="1:15" x14ac:dyDescent="0.2">
      <c r="A654" s="75"/>
      <c r="B654" s="52">
        <f t="shared" ref="B654:B717" si="12">MONTH(A654)</f>
        <v>1</v>
      </c>
      <c r="C654" s="45"/>
      <c r="D654" s="1156"/>
      <c r="E654" s="1156"/>
      <c r="F654" s="1156"/>
      <c r="G654" s="1156"/>
      <c r="H654" s="1156"/>
      <c r="I654" s="468"/>
      <c r="J654" s="76"/>
      <c r="K654" s="843"/>
      <c r="L654" s="1157"/>
      <c r="M654" s="1158"/>
      <c r="N654" s="1158"/>
      <c r="O654" s="1158"/>
    </row>
    <row r="655" spans="1:15" x14ac:dyDescent="0.2">
      <c r="A655" s="75"/>
      <c r="B655" s="52">
        <f t="shared" si="12"/>
        <v>1</v>
      </c>
      <c r="C655" s="45"/>
      <c r="D655" s="1156"/>
      <c r="E655" s="1156"/>
      <c r="F655" s="1156"/>
      <c r="G655" s="1156"/>
      <c r="H655" s="1156"/>
      <c r="I655" s="468"/>
      <c r="J655" s="76"/>
      <c r="K655" s="843"/>
      <c r="L655" s="1157"/>
      <c r="M655" s="1158"/>
      <c r="N655" s="1158"/>
      <c r="O655" s="1158"/>
    </row>
    <row r="656" spans="1:15" x14ac:dyDescent="0.2">
      <c r="A656" s="75"/>
      <c r="B656" s="52">
        <f t="shared" si="12"/>
        <v>1</v>
      </c>
      <c r="C656" s="45"/>
      <c r="D656" s="1156"/>
      <c r="E656" s="1156"/>
      <c r="F656" s="1156"/>
      <c r="G656" s="1156"/>
      <c r="H656" s="1156"/>
      <c r="I656" s="468"/>
      <c r="J656" s="76"/>
      <c r="K656" s="843"/>
      <c r="L656" s="1157"/>
      <c r="M656" s="1158"/>
      <c r="N656" s="1158"/>
      <c r="O656" s="1158"/>
    </row>
    <row r="657" spans="1:15" x14ac:dyDescent="0.2">
      <c r="A657" s="75"/>
      <c r="B657" s="52">
        <f t="shared" si="12"/>
        <v>1</v>
      </c>
      <c r="C657" s="45"/>
      <c r="D657" s="1156"/>
      <c r="E657" s="1156"/>
      <c r="F657" s="1156"/>
      <c r="G657" s="1156"/>
      <c r="H657" s="1156"/>
      <c r="I657" s="468"/>
      <c r="J657" s="76"/>
      <c r="K657" s="843"/>
      <c r="L657" s="1157"/>
      <c r="M657" s="1158"/>
      <c r="N657" s="1158"/>
      <c r="O657" s="1158"/>
    </row>
    <row r="658" spans="1:15" x14ac:dyDescent="0.2">
      <c r="A658" s="75"/>
      <c r="B658" s="52">
        <f t="shared" si="12"/>
        <v>1</v>
      </c>
      <c r="C658" s="45"/>
      <c r="D658" s="1156"/>
      <c r="E658" s="1156"/>
      <c r="F658" s="1156"/>
      <c r="G658" s="1156"/>
      <c r="H658" s="1156"/>
      <c r="I658" s="468"/>
      <c r="J658" s="76"/>
      <c r="K658" s="843"/>
      <c r="L658" s="1157"/>
      <c r="M658" s="1158"/>
      <c r="N658" s="1158"/>
      <c r="O658" s="1158"/>
    </row>
    <row r="659" spans="1:15" x14ac:dyDescent="0.2">
      <c r="A659" s="75"/>
      <c r="B659" s="52">
        <f t="shared" si="12"/>
        <v>1</v>
      </c>
      <c r="C659" s="45"/>
      <c r="D659" s="1156"/>
      <c r="E659" s="1156"/>
      <c r="F659" s="1156"/>
      <c r="G659" s="1156"/>
      <c r="H659" s="1156"/>
      <c r="I659" s="468"/>
      <c r="J659" s="76"/>
      <c r="K659" s="843"/>
      <c r="L659" s="1157"/>
      <c r="M659" s="1158"/>
      <c r="N659" s="1158"/>
      <c r="O659" s="1158"/>
    </row>
    <row r="660" spans="1:15" x14ac:dyDescent="0.2">
      <c r="A660" s="75"/>
      <c r="B660" s="52">
        <f t="shared" si="12"/>
        <v>1</v>
      </c>
      <c r="C660" s="45"/>
      <c r="D660" s="1156"/>
      <c r="E660" s="1156"/>
      <c r="F660" s="1156"/>
      <c r="G660" s="1156"/>
      <c r="H660" s="1156"/>
      <c r="I660" s="468"/>
      <c r="J660" s="76"/>
      <c r="K660" s="843"/>
      <c r="L660" s="1157"/>
      <c r="M660" s="1158"/>
      <c r="N660" s="1158"/>
      <c r="O660" s="1158"/>
    </row>
    <row r="661" spans="1:15" x14ac:dyDescent="0.2">
      <c r="A661" s="75"/>
      <c r="B661" s="52">
        <f t="shared" si="12"/>
        <v>1</v>
      </c>
      <c r="C661" s="45"/>
      <c r="D661" s="1156"/>
      <c r="E661" s="1156"/>
      <c r="F661" s="1156"/>
      <c r="G661" s="1156"/>
      <c r="H661" s="1156"/>
      <c r="I661" s="468"/>
      <c r="J661" s="76"/>
      <c r="K661" s="843"/>
      <c r="L661" s="1157"/>
      <c r="M661" s="1158"/>
      <c r="N661" s="1158"/>
      <c r="O661" s="1158"/>
    </row>
    <row r="662" spans="1:15" x14ac:dyDescent="0.2">
      <c r="A662" s="75"/>
      <c r="B662" s="52">
        <f t="shared" si="12"/>
        <v>1</v>
      </c>
      <c r="C662" s="45"/>
      <c r="D662" s="1156"/>
      <c r="E662" s="1156"/>
      <c r="F662" s="1156"/>
      <c r="G662" s="1156"/>
      <c r="H662" s="1156"/>
      <c r="I662" s="468"/>
      <c r="J662" s="76"/>
      <c r="K662" s="843"/>
      <c r="L662" s="1157"/>
      <c r="M662" s="1158"/>
      <c r="N662" s="1158"/>
      <c r="O662" s="1158"/>
    </row>
    <row r="663" spans="1:15" x14ac:dyDescent="0.2">
      <c r="A663" s="75"/>
      <c r="B663" s="52">
        <f t="shared" si="12"/>
        <v>1</v>
      </c>
      <c r="C663" s="45"/>
      <c r="D663" s="1156"/>
      <c r="E663" s="1156"/>
      <c r="F663" s="1156"/>
      <c r="G663" s="1156"/>
      <c r="H663" s="1156"/>
      <c r="I663" s="468"/>
      <c r="J663" s="76"/>
      <c r="K663" s="843"/>
      <c r="L663" s="1157"/>
      <c r="M663" s="1158"/>
      <c r="N663" s="1158"/>
      <c r="O663" s="1158"/>
    </row>
    <row r="664" spans="1:15" x14ac:dyDescent="0.2">
      <c r="A664" s="75"/>
      <c r="B664" s="52">
        <f t="shared" si="12"/>
        <v>1</v>
      </c>
      <c r="C664" s="45"/>
      <c r="D664" s="1156"/>
      <c r="E664" s="1156"/>
      <c r="F664" s="1156"/>
      <c r="G664" s="1156"/>
      <c r="H664" s="1156"/>
      <c r="I664" s="468"/>
      <c r="J664" s="76"/>
      <c r="K664" s="843"/>
      <c r="L664" s="1157"/>
      <c r="M664" s="1158"/>
      <c r="N664" s="1158"/>
      <c r="O664" s="1158"/>
    </row>
    <row r="665" spans="1:15" x14ac:dyDescent="0.2">
      <c r="A665" s="75"/>
      <c r="B665" s="52">
        <f t="shared" si="12"/>
        <v>1</v>
      </c>
      <c r="C665" s="45"/>
      <c r="D665" s="1156"/>
      <c r="E665" s="1156"/>
      <c r="F665" s="1156"/>
      <c r="G665" s="1156"/>
      <c r="H665" s="1156"/>
      <c r="I665" s="468"/>
      <c r="J665" s="76"/>
      <c r="K665" s="843"/>
      <c r="L665" s="1157"/>
      <c r="M665" s="1158"/>
      <c r="N665" s="1158"/>
      <c r="O665" s="1158"/>
    </row>
    <row r="666" spans="1:15" x14ac:dyDescent="0.2">
      <c r="A666" s="75"/>
      <c r="B666" s="52">
        <f t="shared" si="12"/>
        <v>1</v>
      </c>
      <c r="C666" s="45"/>
      <c r="D666" s="1156"/>
      <c r="E666" s="1156"/>
      <c r="F666" s="1156"/>
      <c r="G666" s="1156"/>
      <c r="H666" s="1156"/>
      <c r="I666" s="468"/>
      <c r="J666" s="76"/>
      <c r="K666" s="843"/>
      <c r="L666" s="1157"/>
      <c r="M666" s="1158"/>
      <c r="N666" s="1158"/>
      <c r="O666" s="1158"/>
    </row>
    <row r="667" spans="1:15" x14ac:dyDescent="0.2">
      <c r="A667" s="75"/>
      <c r="B667" s="52">
        <f t="shared" si="12"/>
        <v>1</v>
      </c>
      <c r="C667" s="45"/>
      <c r="D667" s="1156"/>
      <c r="E667" s="1156"/>
      <c r="F667" s="1156"/>
      <c r="G667" s="1156"/>
      <c r="H667" s="1156"/>
      <c r="I667" s="468"/>
      <c r="J667" s="76"/>
      <c r="K667" s="843"/>
      <c r="L667" s="1157"/>
      <c r="M667" s="1158"/>
      <c r="N667" s="1158"/>
      <c r="O667" s="1158"/>
    </row>
    <row r="668" spans="1:15" x14ac:dyDescent="0.2">
      <c r="A668" s="75"/>
      <c r="B668" s="52">
        <f t="shared" si="12"/>
        <v>1</v>
      </c>
      <c r="C668" s="45"/>
      <c r="D668" s="1156"/>
      <c r="E668" s="1156"/>
      <c r="F668" s="1156"/>
      <c r="G668" s="1156"/>
      <c r="H668" s="1156"/>
      <c r="I668" s="468"/>
      <c r="J668" s="76"/>
      <c r="K668" s="843"/>
      <c r="L668" s="1157"/>
      <c r="M668" s="1158"/>
      <c r="N668" s="1158"/>
      <c r="O668" s="1158"/>
    </row>
    <row r="669" spans="1:15" x14ac:dyDescent="0.2">
      <c r="A669" s="75"/>
      <c r="B669" s="52">
        <f t="shared" si="12"/>
        <v>1</v>
      </c>
      <c r="C669" s="45"/>
      <c r="D669" s="1156"/>
      <c r="E669" s="1156"/>
      <c r="F669" s="1156"/>
      <c r="G669" s="1156"/>
      <c r="H669" s="1156"/>
      <c r="I669" s="468"/>
      <c r="J669" s="76"/>
      <c r="K669" s="843"/>
      <c r="L669" s="1157"/>
      <c r="M669" s="1158"/>
      <c r="N669" s="1158"/>
      <c r="O669" s="1158"/>
    </row>
    <row r="670" spans="1:15" x14ac:dyDescent="0.2">
      <c r="A670" s="75"/>
      <c r="B670" s="52">
        <f t="shared" si="12"/>
        <v>1</v>
      </c>
      <c r="C670" s="45"/>
      <c r="D670" s="1156"/>
      <c r="E670" s="1156"/>
      <c r="F670" s="1156"/>
      <c r="G670" s="1156"/>
      <c r="H670" s="1156"/>
      <c r="I670" s="468"/>
      <c r="J670" s="76"/>
      <c r="K670" s="843"/>
      <c r="L670" s="1157"/>
      <c r="M670" s="1158"/>
      <c r="N670" s="1158"/>
      <c r="O670" s="1158"/>
    </row>
    <row r="671" spans="1:15" x14ac:dyDescent="0.2">
      <c r="A671" s="75"/>
      <c r="B671" s="52">
        <f t="shared" si="12"/>
        <v>1</v>
      </c>
      <c r="C671" s="45"/>
      <c r="D671" s="1156"/>
      <c r="E671" s="1156"/>
      <c r="F671" s="1156"/>
      <c r="G671" s="1156"/>
      <c r="H671" s="1156"/>
      <c r="I671" s="468"/>
      <c r="J671" s="76"/>
      <c r="K671" s="843"/>
      <c r="L671" s="1157"/>
      <c r="M671" s="1158"/>
      <c r="N671" s="1158"/>
      <c r="O671" s="1158"/>
    </row>
    <row r="672" spans="1:15" x14ac:dyDescent="0.2">
      <c r="A672" s="75"/>
      <c r="B672" s="52">
        <f t="shared" si="12"/>
        <v>1</v>
      </c>
      <c r="C672" s="45"/>
      <c r="D672" s="1156"/>
      <c r="E672" s="1156"/>
      <c r="F672" s="1156"/>
      <c r="G672" s="1156"/>
      <c r="H672" s="1156"/>
      <c r="I672" s="468"/>
      <c r="J672" s="76"/>
      <c r="K672" s="843"/>
      <c r="L672" s="1157"/>
      <c r="M672" s="1158"/>
      <c r="N672" s="1158"/>
      <c r="O672" s="1158"/>
    </row>
    <row r="673" spans="1:15" x14ac:dyDescent="0.2">
      <c r="A673" s="75"/>
      <c r="B673" s="52">
        <f t="shared" si="12"/>
        <v>1</v>
      </c>
      <c r="C673" s="45"/>
      <c r="D673" s="1156"/>
      <c r="E673" s="1156"/>
      <c r="F673" s="1156"/>
      <c r="G673" s="1156"/>
      <c r="H673" s="1156"/>
      <c r="I673" s="468"/>
      <c r="J673" s="76"/>
      <c r="K673" s="843"/>
      <c r="L673" s="1157"/>
      <c r="M673" s="1158"/>
      <c r="N673" s="1158"/>
      <c r="O673" s="1158"/>
    </row>
    <row r="674" spans="1:15" x14ac:dyDescent="0.2">
      <c r="A674" s="75"/>
      <c r="B674" s="52">
        <f t="shared" si="12"/>
        <v>1</v>
      </c>
      <c r="C674" s="45"/>
      <c r="D674" s="1156"/>
      <c r="E674" s="1156"/>
      <c r="F674" s="1156"/>
      <c r="G674" s="1156"/>
      <c r="H674" s="1156"/>
      <c r="I674" s="468"/>
      <c r="J674" s="76"/>
      <c r="K674" s="843"/>
      <c r="L674" s="1157"/>
      <c r="M674" s="1158"/>
      <c r="N674" s="1158"/>
      <c r="O674" s="1158"/>
    </row>
    <row r="675" spans="1:15" x14ac:dyDescent="0.2">
      <c r="A675" s="75"/>
      <c r="B675" s="52">
        <f t="shared" si="12"/>
        <v>1</v>
      </c>
      <c r="C675" s="45"/>
      <c r="D675" s="1156"/>
      <c r="E675" s="1156"/>
      <c r="F675" s="1156"/>
      <c r="G675" s="1156"/>
      <c r="H675" s="1156"/>
      <c r="I675" s="468"/>
      <c r="J675" s="76"/>
      <c r="K675" s="843"/>
      <c r="L675" s="1157"/>
      <c r="M675" s="1158"/>
      <c r="N675" s="1158"/>
      <c r="O675" s="1158"/>
    </row>
    <row r="676" spans="1:15" x14ac:dyDescent="0.2">
      <c r="A676" s="75"/>
      <c r="B676" s="52">
        <f t="shared" si="12"/>
        <v>1</v>
      </c>
      <c r="C676" s="45"/>
      <c r="D676" s="1156"/>
      <c r="E676" s="1156"/>
      <c r="F676" s="1156"/>
      <c r="G676" s="1156"/>
      <c r="H676" s="1156"/>
      <c r="I676" s="468"/>
      <c r="J676" s="76"/>
      <c r="K676" s="843"/>
      <c r="L676" s="1157"/>
      <c r="M676" s="1158"/>
      <c r="N676" s="1158"/>
      <c r="O676" s="1158"/>
    </row>
    <row r="677" spans="1:15" x14ac:dyDescent="0.2">
      <c r="A677" s="75"/>
      <c r="B677" s="52">
        <f t="shared" si="12"/>
        <v>1</v>
      </c>
      <c r="C677" s="45"/>
      <c r="D677" s="1156"/>
      <c r="E677" s="1156"/>
      <c r="F677" s="1156"/>
      <c r="G677" s="1156"/>
      <c r="H677" s="1156"/>
      <c r="I677" s="468"/>
      <c r="J677" s="76"/>
      <c r="K677" s="843"/>
      <c r="L677" s="1157"/>
      <c r="M677" s="1158"/>
      <c r="N677" s="1158"/>
      <c r="O677" s="1158"/>
    </row>
    <row r="678" spans="1:15" x14ac:dyDescent="0.2">
      <c r="A678" s="75"/>
      <c r="B678" s="52">
        <f t="shared" si="12"/>
        <v>1</v>
      </c>
      <c r="C678" s="45"/>
      <c r="D678" s="1156"/>
      <c r="E678" s="1156"/>
      <c r="F678" s="1156"/>
      <c r="G678" s="1156"/>
      <c r="H678" s="1156"/>
      <c r="I678" s="468"/>
      <c r="J678" s="76"/>
      <c r="K678" s="843"/>
      <c r="L678" s="1157"/>
      <c r="M678" s="1158"/>
      <c r="N678" s="1158"/>
      <c r="O678" s="1158"/>
    </row>
    <row r="679" spans="1:15" x14ac:dyDescent="0.2">
      <c r="A679" s="75"/>
      <c r="B679" s="52">
        <f t="shared" si="12"/>
        <v>1</v>
      </c>
      <c r="C679" s="45"/>
      <c r="D679" s="1156"/>
      <c r="E679" s="1156"/>
      <c r="F679" s="1156"/>
      <c r="G679" s="1156"/>
      <c r="H679" s="1156"/>
      <c r="I679" s="468"/>
      <c r="J679" s="76"/>
      <c r="K679" s="843"/>
      <c r="L679" s="1157"/>
      <c r="M679" s="1158"/>
      <c r="N679" s="1158"/>
      <c r="O679" s="1158"/>
    </row>
    <row r="680" spans="1:15" x14ac:dyDescent="0.2">
      <c r="A680" s="75"/>
      <c r="B680" s="52">
        <f t="shared" si="12"/>
        <v>1</v>
      </c>
      <c r="C680" s="45"/>
      <c r="D680" s="1156"/>
      <c r="E680" s="1156"/>
      <c r="F680" s="1156"/>
      <c r="G680" s="1156"/>
      <c r="H680" s="1156"/>
      <c r="I680" s="468"/>
      <c r="J680" s="76"/>
      <c r="K680" s="843"/>
      <c r="L680" s="1157"/>
      <c r="M680" s="1158"/>
      <c r="N680" s="1158"/>
      <c r="O680" s="1158"/>
    </row>
    <row r="681" spans="1:15" x14ac:dyDescent="0.2">
      <c r="A681" s="75"/>
      <c r="B681" s="52">
        <f t="shared" si="12"/>
        <v>1</v>
      </c>
      <c r="C681" s="45"/>
      <c r="D681" s="1156"/>
      <c r="E681" s="1156"/>
      <c r="F681" s="1156"/>
      <c r="G681" s="1156"/>
      <c r="H681" s="1156"/>
      <c r="I681" s="468"/>
      <c r="J681" s="76"/>
      <c r="K681" s="843"/>
      <c r="L681" s="1157"/>
      <c r="M681" s="1158"/>
      <c r="N681" s="1158"/>
      <c r="O681" s="1158"/>
    </row>
    <row r="682" spans="1:15" x14ac:dyDescent="0.2">
      <c r="A682" s="75"/>
      <c r="B682" s="52">
        <f t="shared" si="12"/>
        <v>1</v>
      </c>
      <c r="C682" s="45"/>
      <c r="D682" s="1156"/>
      <c r="E682" s="1156"/>
      <c r="F682" s="1156"/>
      <c r="G682" s="1156"/>
      <c r="H682" s="1156"/>
      <c r="I682" s="468"/>
      <c r="J682" s="76"/>
      <c r="K682" s="843"/>
      <c r="L682" s="1157"/>
      <c r="M682" s="1158"/>
      <c r="N682" s="1158"/>
      <c r="O682" s="1158"/>
    </row>
    <row r="683" spans="1:15" x14ac:dyDescent="0.2">
      <c r="A683" s="75"/>
      <c r="B683" s="52">
        <f t="shared" si="12"/>
        <v>1</v>
      </c>
      <c r="C683" s="45"/>
      <c r="D683" s="1156"/>
      <c r="E683" s="1156"/>
      <c r="F683" s="1156"/>
      <c r="G683" s="1156"/>
      <c r="H683" s="1156"/>
      <c r="I683" s="468"/>
      <c r="J683" s="76"/>
      <c r="K683" s="843"/>
      <c r="L683" s="1157"/>
      <c r="M683" s="1158"/>
      <c r="N683" s="1158"/>
      <c r="O683" s="1158"/>
    </row>
    <row r="684" spans="1:15" x14ac:dyDescent="0.2">
      <c r="A684" s="75"/>
      <c r="B684" s="52">
        <f t="shared" si="12"/>
        <v>1</v>
      </c>
      <c r="C684" s="45"/>
      <c r="D684" s="1156"/>
      <c r="E684" s="1156"/>
      <c r="F684" s="1156"/>
      <c r="G684" s="1156"/>
      <c r="H684" s="1156"/>
      <c r="I684" s="468"/>
      <c r="J684" s="76"/>
      <c r="K684" s="843"/>
      <c r="L684" s="1157"/>
      <c r="M684" s="1158"/>
      <c r="N684" s="1158"/>
      <c r="O684" s="1158"/>
    </row>
    <row r="685" spans="1:15" x14ac:dyDescent="0.2">
      <c r="A685" s="75"/>
      <c r="B685" s="52">
        <f t="shared" si="12"/>
        <v>1</v>
      </c>
      <c r="C685" s="45"/>
      <c r="D685" s="1156"/>
      <c r="E685" s="1156"/>
      <c r="F685" s="1156"/>
      <c r="G685" s="1156"/>
      <c r="H685" s="1156"/>
      <c r="I685" s="468"/>
      <c r="J685" s="76"/>
      <c r="K685" s="843"/>
      <c r="L685" s="1157"/>
      <c r="M685" s="1158"/>
      <c r="N685" s="1158"/>
      <c r="O685" s="1158"/>
    </row>
    <row r="686" spans="1:15" x14ac:dyDescent="0.2">
      <c r="A686" s="75"/>
      <c r="B686" s="52">
        <f t="shared" si="12"/>
        <v>1</v>
      </c>
      <c r="C686" s="45"/>
      <c r="D686" s="1156"/>
      <c r="E686" s="1156"/>
      <c r="F686" s="1156"/>
      <c r="G686" s="1156"/>
      <c r="H686" s="1156"/>
      <c r="I686" s="468"/>
      <c r="J686" s="76"/>
      <c r="K686" s="843"/>
      <c r="L686" s="1157"/>
      <c r="M686" s="1158"/>
      <c r="N686" s="1158"/>
      <c r="O686" s="1158"/>
    </row>
    <row r="687" spans="1:15" x14ac:dyDescent="0.2">
      <c r="A687" s="75"/>
      <c r="B687" s="52">
        <f t="shared" si="12"/>
        <v>1</v>
      </c>
      <c r="C687" s="45"/>
      <c r="D687" s="1156"/>
      <c r="E687" s="1156"/>
      <c r="F687" s="1156"/>
      <c r="G687" s="1156"/>
      <c r="H687" s="1156"/>
      <c r="I687" s="468"/>
      <c r="J687" s="76"/>
      <c r="K687" s="843"/>
      <c r="L687" s="1157"/>
      <c r="M687" s="1158"/>
      <c r="N687" s="1158"/>
      <c r="O687" s="1158"/>
    </row>
    <row r="688" spans="1:15" x14ac:dyDescent="0.2">
      <c r="A688" s="75"/>
      <c r="B688" s="52">
        <f t="shared" si="12"/>
        <v>1</v>
      </c>
      <c r="C688" s="45"/>
      <c r="D688" s="1156"/>
      <c r="E688" s="1156"/>
      <c r="F688" s="1156"/>
      <c r="G688" s="1156"/>
      <c r="H688" s="1156"/>
      <c r="I688" s="468"/>
      <c r="J688" s="76"/>
      <c r="K688" s="843"/>
      <c r="L688" s="1157"/>
      <c r="M688" s="1158"/>
      <c r="N688" s="1158"/>
      <c r="O688" s="1158"/>
    </row>
    <row r="689" spans="1:15" x14ac:dyDescent="0.2">
      <c r="A689" s="75"/>
      <c r="B689" s="52">
        <f t="shared" si="12"/>
        <v>1</v>
      </c>
      <c r="C689" s="45"/>
      <c r="D689" s="1156"/>
      <c r="E689" s="1156"/>
      <c r="F689" s="1156"/>
      <c r="G689" s="1156"/>
      <c r="H689" s="1156"/>
      <c r="I689" s="468"/>
      <c r="J689" s="76"/>
      <c r="K689" s="843"/>
      <c r="L689" s="1157"/>
      <c r="M689" s="1158"/>
      <c r="N689" s="1158"/>
      <c r="O689" s="1158"/>
    </row>
    <row r="690" spans="1:15" x14ac:dyDescent="0.2">
      <c r="A690" s="75"/>
      <c r="B690" s="52">
        <f t="shared" si="12"/>
        <v>1</v>
      </c>
      <c r="C690" s="45"/>
      <c r="D690" s="1156"/>
      <c r="E690" s="1156"/>
      <c r="F690" s="1156"/>
      <c r="G690" s="1156"/>
      <c r="H690" s="1156"/>
      <c r="I690" s="468"/>
      <c r="J690" s="76"/>
      <c r="K690" s="843"/>
      <c r="L690" s="1157"/>
      <c r="M690" s="1158"/>
      <c r="N690" s="1158"/>
      <c r="O690" s="1158"/>
    </row>
    <row r="691" spans="1:15" x14ac:dyDescent="0.2">
      <c r="A691" s="75"/>
      <c r="B691" s="52">
        <f t="shared" si="12"/>
        <v>1</v>
      </c>
      <c r="C691" s="45"/>
      <c r="D691" s="1156"/>
      <c r="E691" s="1156"/>
      <c r="F691" s="1156"/>
      <c r="G691" s="1156"/>
      <c r="H691" s="1156"/>
      <c r="I691" s="468"/>
      <c r="J691" s="76"/>
      <c r="K691" s="843"/>
      <c r="L691" s="1157"/>
      <c r="M691" s="1158"/>
      <c r="N691" s="1158"/>
      <c r="O691" s="1158"/>
    </row>
    <row r="692" spans="1:15" x14ac:dyDescent="0.2">
      <c r="A692" s="75"/>
      <c r="B692" s="52">
        <f t="shared" si="12"/>
        <v>1</v>
      </c>
      <c r="C692" s="45"/>
      <c r="D692" s="1156"/>
      <c r="E692" s="1156"/>
      <c r="F692" s="1156"/>
      <c r="G692" s="1156"/>
      <c r="H692" s="1156"/>
      <c r="I692" s="468"/>
      <c r="J692" s="76"/>
      <c r="K692" s="843"/>
      <c r="L692" s="1157"/>
      <c r="M692" s="1158"/>
      <c r="N692" s="1158"/>
      <c r="O692" s="1158"/>
    </row>
    <row r="693" spans="1:15" x14ac:dyDescent="0.2">
      <c r="A693" s="75"/>
      <c r="B693" s="52">
        <f t="shared" si="12"/>
        <v>1</v>
      </c>
      <c r="C693" s="45"/>
      <c r="D693" s="1156"/>
      <c r="E693" s="1156"/>
      <c r="F693" s="1156"/>
      <c r="G693" s="1156"/>
      <c r="H693" s="1156"/>
      <c r="I693" s="468"/>
      <c r="J693" s="76"/>
      <c r="K693" s="843"/>
      <c r="L693" s="1157"/>
      <c r="M693" s="1158"/>
      <c r="N693" s="1158"/>
      <c r="O693" s="1158"/>
    </row>
    <row r="694" spans="1:15" x14ac:dyDescent="0.2">
      <c r="A694" s="75"/>
      <c r="B694" s="52">
        <f t="shared" si="12"/>
        <v>1</v>
      </c>
      <c r="C694" s="45"/>
      <c r="D694" s="1156"/>
      <c r="E694" s="1156"/>
      <c r="F694" s="1156"/>
      <c r="G694" s="1156"/>
      <c r="H694" s="1156"/>
      <c r="I694" s="468"/>
      <c r="J694" s="76"/>
      <c r="K694" s="843"/>
      <c r="L694" s="1157"/>
      <c r="M694" s="1158"/>
      <c r="N694" s="1158"/>
      <c r="O694" s="1158"/>
    </row>
    <row r="695" spans="1:15" x14ac:dyDescent="0.2">
      <c r="A695" s="75"/>
      <c r="B695" s="52">
        <f t="shared" si="12"/>
        <v>1</v>
      </c>
      <c r="C695" s="45"/>
      <c r="D695" s="1156"/>
      <c r="E695" s="1156"/>
      <c r="F695" s="1156"/>
      <c r="G695" s="1156"/>
      <c r="H695" s="1156"/>
      <c r="I695" s="468"/>
      <c r="J695" s="76"/>
      <c r="K695" s="843"/>
      <c r="L695" s="1157"/>
      <c r="M695" s="1158"/>
      <c r="N695" s="1158"/>
      <c r="O695" s="1158"/>
    </row>
    <row r="696" spans="1:15" x14ac:dyDescent="0.2">
      <c r="A696" s="75"/>
      <c r="B696" s="52">
        <f t="shared" si="12"/>
        <v>1</v>
      </c>
      <c r="C696" s="45"/>
      <c r="D696" s="1156"/>
      <c r="E696" s="1156"/>
      <c r="F696" s="1156"/>
      <c r="G696" s="1156"/>
      <c r="H696" s="1156"/>
      <c r="I696" s="468"/>
      <c r="J696" s="76"/>
      <c r="K696" s="843"/>
      <c r="L696" s="1157"/>
      <c r="M696" s="1158"/>
      <c r="N696" s="1158"/>
      <c r="O696" s="1158"/>
    </row>
    <row r="697" spans="1:15" x14ac:dyDescent="0.2">
      <c r="A697" s="75"/>
      <c r="B697" s="52">
        <f t="shared" si="12"/>
        <v>1</v>
      </c>
      <c r="C697" s="45"/>
      <c r="D697" s="1156"/>
      <c r="E697" s="1156"/>
      <c r="F697" s="1156"/>
      <c r="G697" s="1156"/>
      <c r="H697" s="1156"/>
      <c r="I697" s="468"/>
      <c r="J697" s="76"/>
      <c r="K697" s="843"/>
      <c r="L697" s="1157"/>
      <c r="M697" s="1158"/>
      <c r="N697" s="1158"/>
      <c r="O697" s="1158"/>
    </row>
    <row r="698" spans="1:15" x14ac:dyDescent="0.2">
      <c r="A698" s="75"/>
      <c r="B698" s="52">
        <f t="shared" si="12"/>
        <v>1</v>
      </c>
      <c r="C698" s="45"/>
      <c r="D698" s="1156"/>
      <c r="E698" s="1156"/>
      <c r="F698" s="1156"/>
      <c r="G698" s="1156"/>
      <c r="H698" s="1156"/>
      <c r="I698" s="468"/>
      <c r="J698" s="76"/>
      <c r="K698" s="843"/>
      <c r="L698" s="1157"/>
      <c r="M698" s="1158"/>
      <c r="N698" s="1158"/>
      <c r="O698" s="1158"/>
    </row>
    <row r="699" spans="1:15" x14ac:dyDescent="0.2">
      <c r="A699" s="75"/>
      <c r="B699" s="52">
        <f t="shared" si="12"/>
        <v>1</v>
      </c>
      <c r="C699" s="45"/>
      <c r="D699" s="1156"/>
      <c r="E699" s="1156"/>
      <c r="F699" s="1156"/>
      <c r="G699" s="1156"/>
      <c r="H699" s="1156"/>
      <c r="I699" s="468"/>
      <c r="J699" s="76"/>
      <c r="K699" s="843"/>
      <c r="L699" s="1157"/>
      <c r="M699" s="1158"/>
      <c r="N699" s="1158"/>
      <c r="O699" s="1158"/>
    </row>
    <row r="700" spans="1:15" x14ac:dyDescent="0.2">
      <c r="A700" s="75"/>
      <c r="B700" s="52">
        <f t="shared" si="12"/>
        <v>1</v>
      </c>
      <c r="C700" s="45"/>
      <c r="D700" s="1156"/>
      <c r="E700" s="1156"/>
      <c r="F700" s="1156"/>
      <c r="G700" s="1156"/>
      <c r="H700" s="1156"/>
      <c r="I700" s="468"/>
      <c r="J700" s="76"/>
      <c r="K700" s="843"/>
      <c r="L700" s="1157"/>
      <c r="M700" s="1158"/>
      <c r="N700" s="1158"/>
      <c r="O700" s="1158"/>
    </row>
    <row r="701" spans="1:15" x14ac:dyDescent="0.2">
      <c r="A701" s="75"/>
      <c r="B701" s="52">
        <f t="shared" si="12"/>
        <v>1</v>
      </c>
      <c r="C701" s="45"/>
      <c r="D701" s="1156"/>
      <c r="E701" s="1156"/>
      <c r="F701" s="1156"/>
      <c r="G701" s="1156"/>
      <c r="H701" s="1156"/>
      <c r="I701" s="468"/>
      <c r="J701" s="76"/>
      <c r="K701" s="843"/>
      <c r="L701" s="1157"/>
      <c r="M701" s="1158"/>
      <c r="N701" s="1158"/>
      <c r="O701" s="1158"/>
    </row>
    <row r="702" spans="1:15" x14ac:dyDescent="0.2">
      <c r="A702" s="75"/>
      <c r="B702" s="52">
        <f t="shared" si="12"/>
        <v>1</v>
      </c>
      <c r="C702" s="45"/>
      <c r="D702" s="1156"/>
      <c r="E702" s="1156"/>
      <c r="F702" s="1156"/>
      <c r="G702" s="1156"/>
      <c r="H702" s="1156"/>
      <c r="I702" s="468"/>
      <c r="J702" s="76"/>
      <c r="K702" s="843"/>
      <c r="L702" s="1157"/>
      <c r="M702" s="1158"/>
      <c r="N702" s="1158"/>
      <c r="O702" s="1158"/>
    </row>
    <row r="703" spans="1:15" x14ac:dyDescent="0.2">
      <c r="A703" s="75"/>
      <c r="B703" s="52">
        <f t="shared" si="12"/>
        <v>1</v>
      </c>
      <c r="C703" s="45"/>
      <c r="D703" s="1156"/>
      <c r="E703" s="1156"/>
      <c r="F703" s="1156"/>
      <c r="G703" s="1156"/>
      <c r="H703" s="1156"/>
      <c r="I703" s="468"/>
      <c r="J703" s="76"/>
      <c r="K703" s="843"/>
      <c r="L703" s="1157"/>
      <c r="M703" s="1158"/>
      <c r="N703" s="1158"/>
      <c r="O703" s="1158"/>
    </row>
    <row r="704" spans="1:15" x14ac:dyDescent="0.2">
      <c r="A704" s="75"/>
      <c r="B704" s="52">
        <f t="shared" si="12"/>
        <v>1</v>
      </c>
      <c r="C704" s="45"/>
      <c r="D704" s="1156"/>
      <c r="E704" s="1156"/>
      <c r="F704" s="1156"/>
      <c r="G704" s="1156"/>
      <c r="H704" s="1156"/>
      <c r="I704" s="468"/>
      <c r="J704" s="76"/>
      <c r="K704" s="843"/>
      <c r="L704" s="1157"/>
      <c r="M704" s="1158"/>
      <c r="N704" s="1158"/>
      <c r="O704" s="1158"/>
    </row>
    <row r="705" spans="1:15" x14ac:dyDescent="0.2">
      <c r="A705" s="75"/>
      <c r="B705" s="52">
        <f t="shared" si="12"/>
        <v>1</v>
      </c>
      <c r="C705" s="45"/>
      <c r="D705" s="1156"/>
      <c r="E705" s="1156"/>
      <c r="F705" s="1156"/>
      <c r="G705" s="1156"/>
      <c r="H705" s="1156"/>
      <c r="I705" s="468"/>
      <c r="J705" s="76"/>
      <c r="K705" s="843"/>
      <c r="L705" s="1157"/>
      <c r="M705" s="1158"/>
      <c r="N705" s="1158"/>
      <c r="O705" s="1158"/>
    </row>
    <row r="706" spans="1:15" x14ac:dyDescent="0.2">
      <c r="A706" s="75"/>
      <c r="B706" s="52">
        <f t="shared" si="12"/>
        <v>1</v>
      </c>
      <c r="C706" s="45"/>
      <c r="D706" s="1156"/>
      <c r="E706" s="1156"/>
      <c r="F706" s="1156"/>
      <c r="G706" s="1156"/>
      <c r="H706" s="1156"/>
      <c r="I706" s="468"/>
      <c r="J706" s="76"/>
      <c r="K706" s="843"/>
      <c r="L706" s="1157"/>
      <c r="M706" s="1158"/>
      <c r="N706" s="1158"/>
      <c r="O706" s="1158"/>
    </row>
    <row r="707" spans="1:15" x14ac:dyDescent="0.2">
      <c r="A707" s="75"/>
      <c r="B707" s="52">
        <f t="shared" si="12"/>
        <v>1</v>
      </c>
      <c r="C707" s="45"/>
      <c r="D707" s="1156"/>
      <c r="E707" s="1156"/>
      <c r="F707" s="1156"/>
      <c r="G707" s="1156"/>
      <c r="H707" s="1156"/>
      <c r="I707" s="468"/>
      <c r="J707" s="76"/>
      <c r="K707" s="843"/>
      <c r="L707" s="1157"/>
      <c r="M707" s="1158"/>
      <c r="N707" s="1158"/>
      <c r="O707" s="1158"/>
    </row>
    <row r="708" spans="1:15" x14ac:dyDescent="0.2">
      <c r="A708" s="75"/>
      <c r="B708" s="52">
        <f t="shared" si="12"/>
        <v>1</v>
      </c>
      <c r="C708" s="45"/>
      <c r="D708" s="1156"/>
      <c r="E708" s="1156"/>
      <c r="F708" s="1156"/>
      <c r="G708" s="1156"/>
      <c r="H708" s="1156"/>
      <c r="I708" s="468"/>
      <c r="J708" s="76"/>
      <c r="K708" s="843"/>
      <c r="L708" s="1157"/>
      <c r="M708" s="1158"/>
      <c r="N708" s="1158"/>
      <c r="O708" s="1158"/>
    </row>
    <row r="709" spans="1:15" x14ac:dyDescent="0.2">
      <c r="A709" s="75"/>
      <c r="B709" s="52">
        <f t="shared" si="12"/>
        <v>1</v>
      </c>
      <c r="C709" s="45"/>
      <c r="D709" s="1156"/>
      <c r="E709" s="1156"/>
      <c r="F709" s="1156"/>
      <c r="G709" s="1156"/>
      <c r="H709" s="1156"/>
      <c r="I709" s="468"/>
      <c r="J709" s="76"/>
      <c r="K709" s="843"/>
      <c r="L709" s="1157"/>
      <c r="M709" s="1158"/>
      <c r="N709" s="1158"/>
      <c r="O709" s="1158"/>
    </row>
    <row r="710" spans="1:15" x14ac:dyDescent="0.2">
      <c r="A710" s="75"/>
      <c r="B710" s="52">
        <f t="shared" si="12"/>
        <v>1</v>
      </c>
      <c r="C710" s="45"/>
      <c r="D710" s="1156"/>
      <c r="E710" s="1156"/>
      <c r="F710" s="1156"/>
      <c r="G710" s="1156"/>
      <c r="H710" s="1156"/>
      <c r="I710" s="468"/>
      <c r="J710" s="76"/>
      <c r="K710" s="843"/>
      <c r="L710" s="1157"/>
      <c r="M710" s="1158"/>
      <c r="N710" s="1158"/>
      <c r="O710" s="1158"/>
    </row>
    <row r="711" spans="1:15" x14ac:dyDescent="0.2">
      <c r="A711" s="75"/>
      <c r="B711" s="52">
        <f t="shared" si="12"/>
        <v>1</v>
      </c>
      <c r="C711" s="45"/>
      <c r="D711" s="1156"/>
      <c r="E711" s="1156"/>
      <c r="F711" s="1156"/>
      <c r="G711" s="1156"/>
      <c r="H711" s="1156"/>
      <c r="I711" s="468"/>
      <c r="J711" s="76"/>
      <c r="K711" s="843"/>
      <c r="L711" s="1157"/>
      <c r="M711" s="1158"/>
      <c r="N711" s="1158"/>
      <c r="O711" s="1158"/>
    </row>
    <row r="712" spans="1:15" x14ac:dyDescent="0.2">
      <c r="A712" s="75"/>
      <c r="B712" s="52">
        <f t="shared" si="12"/>
        <v>1</v>
      </c>
      <c r="C712" s="45"/>
      <c r="D712" s="1156"/>
      <c r="E712" s="1156"/>
      <c r="F712" s="1156"/>
      <c r="G712" s="1156"/>
      <c r="H712" s="1156"/>
      <c r="I712" s="468"/>
      <c r="J712" s="76"/>
      <c r="K712" s="843"/>
      <c r="L712" s="1157"/>
      <c r="M712" s="1158"/>
      <c r="N712" s="1158"/>
      <c r="O712" s="1158"/>
    </row>
    <row r="713" spans="1:15" x14ac:dyDescent="0.2">
      <c r="A713" s="75"/>
      <c r="B713" s="52">
        <f t="shared" si="12"/>
        <v>1</v>
      </c>
      <c r="C713" s="45"/>
      <c r="D713" s="1156"/>
      <c r="E713" s="1156"/>
      <c r="F713" s="1156"/>
      <c r="G713" s="1156"/>
      <c r="H713" s="1156"/>
      <c r="I713" s="468"/>
      <c r="J713" s="76"/>
      <c r="K713" s="843"/>
      <c r="L713" s="1157"/>
      <c r="M713" s="1158"/>
      <c r="N713" s="1158"/>
      <c r="O713" s="1158"/>
    </row>
    <row r="714" spans="1:15" x14ac:dyDescent="0.2">
      <c r="A714" s="75"/>
      <c r="B714" s="52">
        <f t="shared" si="12"/>
        <v>1</v>
      </c>
      <c r="C714" s="45"/>
      <c r="D714" s="1156"/>
      <c r="E714" s="1156"/>
      <c r="F714" s="1156"/>
      <c r="G714" s="1156"/>
      <c r="H714" s="1156"/>
      <c r="I714" s="468"/>
      <c r="J714" s="76"/>
      <c r="K714" s="843"/>
      <c r="L714" s="1157"/>
      <c r="M714" s="1158"/>
      <c r="N714" s="1158"/>
      <c r="O714" s="1158"/>
    </row>
    <row r="715" spans="1:15" x14ac:dyDescent="0.2">
      <c r="A715" s="75"/>
      <c r="B715" s="52">
        <f t="shared" si="12"/>
        <v>1</v>
      </c>
      <c r="C715" s="45"/>
      <c r="D715" s="1156"/>
      <c r="E715" s="1156"/>
      <c r="F715" s="1156"/>
      <c r="G715" s="1156"/>
      <c r="H715" s="1156"/>
      <c r="I715" s="468"/>
      <c r="J715" s="76"/>
      <c r="K715" s="843"/>
      <c r="L715" s="1157"/>
      <c r="M715" s="1158"/>
      <c r="N715" s="1158"/>
      <c r="O715" s="1158"/>
    </row>
    <row r="716" spans="1:15" x14ac:dyDescent="0.2">
      <c r="A716" s="75"/>
      <c r="B716" s="52">
        <f t="shared" si="12"/>
        <v>1</v>
      </c>
      <c r="C716" s="45"/>
      <c r="D716" s="1156"/>
      <c r="E716" s="1156"/>
      <c r="F716" s="1156"/>
      <c r="G716" s="1156"/>
      <c r="H716" s="1156"/>
      <c r="I716" s="468"/>
      <c r="J716" s="76"/>
      <c r="K716" s="843"/>
      <c r="L716" s="1157"/>
      <c r="M716" s="1158"/>
      <c r="N716" s="1158"/>
      <c r="O716" s="1158"/>
    </row>
    <row r="717" spans="1:15" x14ac:dyDescent="0.2">
      <c r="A717" s="75"/>
      <c r="B717" s="52">
        <f t="shared" si="12"/>
        <v>1</v>
      </c>
      <c r="C717" s="45"/>
      <c r="D717" s="1156"/>
      <c r="E717" s="1156"/>
      <c r="F717" s="1156"/>
      <c r="G717" s="1156"/>
      <c r="H717" s="1156"/>
      <c r="I717" s="468"/>
      <c r="J717" s="76"/>
      <c r="K717" s="843"/>
      <c r="L717" s="1157"/>
      <c r="M717" s="1158"/>
      <c r="N717" s="1158"/>
      <c r="O717" s="1158"/>
    </row>
    <row r="718" spans="1:15" x14ac:dyDescent="0.2">
      <c r="A718" s="75"/>
      <c r="B718" s="52">
        <f t="shared" ref="B718:B781" si="13">MONTH(A718)</f>
        <v>1</v>
      </c>
      <c r="C718" s="45"/>
      <c r="D718" s="1156"/>
      <c r="E718" s="1156"/>
      <c r="F718" s="1156"/>
      <c r="G718" s="1156"/>
      <c r="H718" s="1156"/>
      <c r="I718" s="468"/>
      <c r="J718" s="76"/>
      <c r="K718" s="843"/>
      <c r="L718" s="1157"/>
      <c r="M718" s="1158"/>
      <c r="N718" s="1158"/>
      <c r="O718" s="1158"/>
    </row>
    <row r="719" spans="1:15" x14ac:dyDescent="0.2">
      <c r="A719" s="75"/>
      <c r="B719" s="52">
        <f t="shared" si="13"/>
        <v>1</v>
      </c>
      <c r="C719" s="45"/>
      <c r="D719" s="1156"/>
      <c r="E719" s="1156"/>
      <c r="F719" s="1156"/>
      <c r="G719" s="1156"/>
      <c r="H719" s="1156"/>
      <c r="I719" s="468"/>
      <c r="J719" s="76"/>
      <c r="K719" s="843"/>
      <c r="L719" s="1157"/>
      <c r="M719" s="1158"/>
      <c r="N719" s="1158"/>
      <c r="O719" s="1158"/>
    </row>
    <row r="720" spans="1:15" x14ac:dyDescent="0.2">
      <c r="A720" s="75"/>
      <c r="B720" s="52">
        <f t="shared" si="13"/>
        <v>1</v>
      </c>
      <c r="C720" s="45"/>
      <c r="D720" s="1156"/>
      <c r="E720" s="1156"/>
      <c r="F720" s="1156"/>
      <c r="G720" s="1156"/>
      <c r="H720" s="1156"/>
      <c r="I720" s="468"/>
      <c r="J720" s="76"/>
      <c r="K720" s="843"/>
      <c r="L720" s="1157"/>
      <c r="M720" s="1158"/>
      <c r="N720" s="1158"/>
      <c r="O720" s="1158"/>
    </row>
    <row r="721" spans="1:15" x14ac:dyDescent="0.2">
      <c r="A721" s="75"/>
      <c r="B721" s="52">
        <f t="shared" si="13"/>
        <v>1</v>
      </c>
      <c r="C721" s="45"/>
      <c r="D721" s="1156"/>
      <c r="E721" s="1156"/>
      <c r="F721" s="1156"/>
      <c r="G721" s="1156"/>
      <c r="H721" s="1156"/>
      <c r="I721" s="468"/>
      <c r="J721" s="76"/>
      <c r="K721" s="843"/>
      <c r="L721" s="1157"/>
      <c r="M721" s="1158"/>
      <c r="N721" s="1158"/>
      <c r="O721" s="1158"/>
    </row>
    <row r="722" spans="1:15" x14ac:dyDescent="0.2">
      <c r="A722" s="75"/>
      <c r="B722" s="52">
        <f t="shared" si="13"/>
        <v>1</v>
      </c>
      <c r="C722" s="45"/>
      <c r="D722" s="1156"/>
      <c r="E722" s="1156"/>
      <c r="F722" s="1156"/>
      <c r="G722" s="1156"/>
      <c r="H722" s="1156"/>
      <c r="I722" s="468"/>
      <c r="J722" s="76"/>
      <c r="K722" s="843"/>
      <c r="L722" s="1157"/>
      <c r="M722" s="1158"/>
      <c r="N722" s="1158"/>
      <c r="O722" s="1158"/>
    </row>
    <row r="723" spans="1:15" x14ac:dyDescent="0.2">
      <c r="A723" s="75"/>
      <c r="B723" s="52">
        <f t="shared" si="13"/>
        <v>1</v>
      </c>
      <c r="C723" s="45"/>
      <c r="D723" s="1156"/>
      <c r="E723" s="1156"/>
      <c r="F723" s="1156"/>
      <c r="G723" s="1156"/>
      <c r="H723" s="1156"/>
      <c r="I723" s="468"/>
      <c r="J723" s="76"/>
      <c r="K723" s="843"/>
      <c r="L723" s="1157"/>
      <c r="M723" s="1158"/>
      <c r="N723" s="1158"/>
      <c r="O723" s="1158"/>
    </row>
    <row r="724" spans="1:15" x14ac:dyDescent="0.2">
      <c r="A724" s="75"/>
      <c r="B724" s="52">
        <f t="shared" si="13"/>
        <v>1</v>
      </c>
      <c r="C724" s="45"/>
      <c r="D724" s="1156"/>
      <c r="E724" s="1156"/>
      <c r="F724" s="1156"/>
      <c r="G724" s="1156"/>
      <c r="H724" s="1156"/>
      <c r="I724" s="468"/>
      <c r="J724" s="76"/>
      <c r="K724" s="843"/>
      <c r="L724" s="1157"/>
      <c r="M724" s="1158"/>
      <c r="N724" s="1158"/>
      <c r="O724" s="1158"/>
    </row>
    <row r="725" spans="1:15" x14ac:dyDescent="0.2">
      <c r="A725" s="75"/>
      <c r="B725" s="52">
        <f t="shared" si="13"/>
        <v>1</v>
      </c>
      <c r="C725" s="45"/>
      <c r="D725" s="1156"/>
      <c r="E725" s="1156"/>
      <c r="F725" s="1156"/>
      <c r="G725" s="1156"/>
      <c r="H725" s="1156"/>
      <c r="I725" s="468"/>
      <c r="J725" s="76"/>
      <c r="K725" s="843"/>
      <c r="L725" s="1157"/>
      <c r="M725" s="1158"/>
      <c r="N725" s="1158"/>
      <c r="O725" s="1158"/>
    </row>
    <row r="726" spans="1:15" x14ac:dyDescent="0.2">
      <c r="A726" s="75"/>
      <c r="B726" s="52">
        <f t="shared" si="13"/>
        <v>1</v>
      </c>
      <c r="C726" s="45"/>
      <c r="D726" s="1156"/>
      <c r="E726" s="1156"/>
      <c r="F726" s="1156"/>
      <c r="G726" s="1156"/>
      <c r="H726" s="1156"/>
      <c r="I726" s="468"/>
      <c r="J726" s="76"/>
      <c r="K726" s="843"/>
      <c r="L726" s="1157"/>
      <c r="M726" s="1158"/>
      <c r="N726" s="1158"/>
      <c r="O726" s="1158"/>
    </row>
    <row r="727" spans="1:15" x14ac:dyDescent="0.2">
      <c r="A727" s="75"/>
      <c r="B727" s="52">
        <f t="shared" si="13"/>
        <v>1</v>
      </c>
      <c r="C727" s="45"/>
      <c r="D727" s="1156"/>
      <c r="E727" s="1156"/>
      <c r="F727" s="1156"/>
      <c r="G727" s="1156"/>
      <c r="H727" s="1156"/>
      <c r="I727" s="468"/>
      <c r="J727" s="76"/>
      <c r="K727" s="843"/>
      <c r="L727" s="1157"/>
      <c r="M727" s="1158"/>
      <c r="N727" s="1158"/>
      <c r="O727" s="1158"/>
    </row>
    <row r="728" spans="1:15" x14ac:dyDescent="0.2">
      <c r="A728" s="75"/>
      <c r="B728" s="52">
        <f t="shared" si="13"/>
        <v>1</v>
      </c>
      <c r="C728" s="45"/>
      <c r="D728" s="1156"/>
      <c r="E728" s="1156"/>
      <c r="F728" s="1156"/>
      <c r="G728" s="1156"/>
      <c r="H728" s="1156"/>
      <c r="I728" s="468"/>
      <c r="J728" s="76"/>
      <c r="K728" s="843"/>
      <c r="L728" s="1157"/>
      <c r="M728" s="1158"/>
      <c r="N728" s="1158"/>
      <c r="O728" s="1158"/>
    </row>
    <row r="729" spans="1:15" x14ac:dyDescent="0.2">
      <c r="A729" s="75"/>
      <c r="B729" s="52">
        <f t="shared" si="13"/>
        <v>1</v>
      </c>
      <c r="C729" s="45"/>
      <c r="D729" s="1156"/>
      <c r="E729" s="1156"/>
      <c r="F729" s="1156"/>
      <c r="G729" s="1156"/>
      <c r="H729" s="1156"/>
      <c r="I729" s="468"/>
      <c r="J729" s="76"/>
      <c r="K729" s="843"/>
      <c r="L729" s="1157"/>
      <c r="M729" s="1158"/>
      <c r="N729" s="1158"/>
      <c r="O729" s="1158"/>
    </row>
    <row r="730" spans="1:15" x14ac:dyDescent="0.2">
      <c r="A730" s="75"/>
      <c r="B730" s="52">
        <f t="shared" si="13"/>
        <v>1</v>
      </c>
      <c r="C730" s="45"/>
      <c r="D730" s="1156"/>
      <c r="E730" s="1156"/>
      <c r="F730" s="1156"/>
      <c r="G730" s="1156"/>
      <c r="H730" s="1156"/>
      <c r="I730" s="468"/>
      <c r="J730" s="76"/>
      <c r="K730" s="843"/>
      <c r="L730" s="1157"/>
      <c r="M730" s="1158"/>
      <c r="N730" s="1158"/>
      <c r="O730" s="1158"/>
    </row>
    <row r="731" spans="1:15" x14ac:dyDescent="0.2">
      <c r="A731" s="75"/>
      <c r="B731" s="52">
        <f t="shared" si="13"/>
        <v>1</v>
      </c>
      <c r="C731" s="45"/>
      <c r="D731" s="1156"/>
      <c r="E731" s="1156"/>
      <c r="F731" s="1156"/>
      <c r="G731" s="1156"/>
      <c r="H731" s="1156"/>
      <c r="I731" s="468"/>
      <c r="J731" s="76"/>
      <c r="K731" s="843"/>
      <c r="L731" s="1157"/>
      <c r="M731" s="1158"/>
      <c r="N731" s="1158"/>
      <c r="O731" s="1158"/>
    </row>
    <row r="732" spans="1:15" x14ac:dyDescent="0.2">
      <c r="A732" s="75"/>
      <c r="B732" s="52">
        <f t="shared" si="13"/>
        <v>1</v>
      </c>
      <c r="C732" s="45"/>
      <c r="D732" s="1156"/>
      <c r="E732" s="1156"/>
      <c r="F732" s="1156"/>
      <c r="G732" s="1156"/>
      <c r="H732" s="1156"/>
      <c r="I732" s="468"/>
      <c r="J732" s="76"/>
      <c r="K732" s="843"/>
      <c r="L732" s="1157"/>
      <c r="M732" s="1158"/>
      <c r="N732" s="1158"/>
      <c r="O732" s="1158"/>
    </row>
    <row r="733" spans="1:15" x14ac:dyDescent="0.2">
      <c r="A733" s="75"/>
      <c r="B733" s="52">
        <f t="shared" si="13"/>
        <v>1</v>
      </c>
      <c r="C733" s="45"/>
      <c r="D733" s="1156"/>
      <c r="E733" s="1156"/>
      <c r="F733" s="1156"/>
      <c r="G733" s="1156"/>
      <c r="H733" s="1156"/>
      <c r="I733" s="468"/>
      <c r="J733" s="76"/>
      <c r="K733" s="843"/>
      <c r="L733" s="1157"/>
      <c r="M733" s="1158"/>
      <c r="N733" s="1158"/>
      <c r="O733" s="1158"/>
    </row>
    <row r="734" spans="1:15" x14ac:dyDescent="0.2">
      <c r="A734" s="75"/>
      <c r="B734" s="52">
        <f t="shared" si="13"/>
        <v>1</v>
      </c>
      <c r="C734" s="45"/>
      <c r="D734" s="1156"/>
      <c r="E734" s="1156"/>
      <c r="F734" s="1156"/>
      <c r="G734" s="1156"/>
      <c r="H734" s="1156"/>
      <c r="I734" s="468"/>
      <c r="J734" s="76"/>
      <c r="K734" s="843"/>
      <c r="L734" s="1157"/>
      <c r="M734" s="1158"/>
      <c r="N734" s="1158"/>
      <c r="O734" s="1158"/>
    </row>
    <row r="735" spans="1:15" x14ac:dyDescent="0.2">
      <c r="A735" s="75"/>
      <c r="B735" s="52">
        <f t="shared" si="13"/>
        <v>1</v>
      </c>
      <c r="C735" s="45"/>
      <c r="D735" s="1156"/>
      <c r="E735" s="1156"/>
      <c r="F735" s="1156"/>
      <c r="G735" s="1156"/>
      <c r="H735" s="1156"/>
      <c r="I735" s="468"/>
      <c r="J735" s="76"/>
      <c r="K735" s="843"/>
      <c r="L735" s="1157"/>
      <c r="M735" s="1158"/>
      <c r="N735" s="1158"/>
      <c r="O735" s="1158"/>
    </row>
    <row r="736" spans="1:15" x14ac:dyDescent="0.2">
      <c r="A736" s="75"/>
      <c r="B736" s="52">
        <f t="shared" si="13"/>
        <v>1</v>
      </c>
      <c r="C736" s="45"/>
      <c r="D736" s="1156"/>
      <c r="E736" s="1156"/>
      <c r="F736" s="1156"/>
      <c r="G736" s="1156"/>
      <c r="H736" s="1156"/>
      <c r="I736" s="468"/>
      <c r="J736" s="76"/>
      <c r="K736" s="843"/>
      <c r="L736" s="1157"/>
      <c r="M736" s="1158"/>
      <c r="N736" s="1158"/>
      <c r="O736" s="1158"/>
    </row>
    <row r="737" spans="1:15" x14ac:dyDescent="0.2">
      <c r="A737" s="75"/>
      <c r="B737" s="52">
        <f t="shared" si="13"/>
        <v>1</v>
      </c>
      <c r="C737" s="45"/>
      <c r="D737" s="1156"/>
      <c r="E737" s="1156"/>
      <c r="F737" s="1156"/>
      <c r="G737" s="1156"/>
      <c r="H737" s="1156"/>
      <c r="I737" s="468"/>
      <c r="J737" s="76"/>
      <c r="K737" s="843"/>
      <c r="L737" s="1157"/>
      <c r="M737" s="1158"/>
      <c r="N737" s="1158"/>
      <c r="O737" s="1158"/>
    </row>
    <row r="738" spans="1:15" x14ac:dyDescent="0.2">
      <c r="A738" s="75"/>
      <c r="B738" s="52">
        <f t="shared" si="13"/>
        <v>1</v>
      </c>
      <c r="C738" s="45"/>
      <c r="D738" s="1156"/>
      <c r="E738" s="1156"/>
      <c r="F738" s="1156"/>
      <c r="G738" s="1156"/>
      <c r="H738" s="1156"/>
      <c r="I738" s="468"/>
      <c r="J738" s="76"/>
      <c r="K738" s="843"/>
      <c r="L738" s="1157"/>
      <c r="M738" s="1158"/>
      <c r="N738" s="1158"/>
      <c r="O738" s="1158"/>
    </row>
    <row r="739" spans="1:15" x14ac:dyDescent="0.2">
      <c r="A739" s="75"/>
      <c r="B739" s="52">
        <f t="shared" si="13"/>
        <v>1</v>
      </c>
      <c r="C739" s="45"/>
      <c r="D739" s="1156"/>
      <c r="E739" s="1156"/>
      <c r="F739" s="1156"/>
      <c r="G739" s="1156"/>
      <c r="H739" s="1156"/>
      <c r="I739" s="468"/>
      <c r="J739" s="76"/>
      <c r="K739" s="843"/>
      <c r="L739" s="1157"/>
      <c r="M739" s="1158"/>
      <c r="N739" s="1158"/>
      <c r="O739" s="1158"/>
    </row>
    <row r="740" spans="1:15" x14ac:dyDescent="0.2">
      <c r="A740" s="75"/>
      <c r="B740" s="52">
        <f t="shared" si="13"/>
        <v>1</v>
      </c>
      <c r="C740" s="45"/>
      <c r="D740" s="1156"/>
      <c r="E740" s="1156"/>
      <c r="F740" s="1156"/>
      <c r="G740" s="1156"/>
      <c r="H740" s="1156"/>
      <c r="I740" s="468"/>
      <c r="J740" s="76"/>
      <c r="K740" s="843"/>
      <c r="L740" s="1157"/>
      <c r="M740" s="1158"/>
      <c r="N740" s="1158"/>
      <c r="O740" s="1158"/>
    </row>
    <row r="741" spans="1:15" x14ac:dyDescent="0.2">
      <c r="A741" s="75"/>
      <c r="B741" s="52">
        <f t="shared" si="13"/>
        <v>1</v>
      </c>
      <c r="C741" s="45"/>
      <c r="D741" s="1156"/>
      <c r="E741" s="1156"/>
      <c r="F741" s="1156"/>
      <c r="G741" s="1156"/>
      <c r="H741" s="1156"/>
      <c r="I741" s="468"/>
      <c r="J741" s="76"/>
      <c r="K741" s="843"/>
      <c r="L741" s="1157"/>
      <c r="M741" s="1158"/>
      <c r="N741" s="1158"/>
      <c r="O741" s="1158"/>
    </row>
    <row r="742" spans="1:15" x14ac:dyDescent="0.2">
      <c r="A742" s="75"/>
      <c r="B742" s="52">
        <f t="shared" si="13"/>
        <v>1</v>
      </c>
      <c r="C742" s="45"/>
      <c r="D742" s="1156"/>
      <c r="E742" s="1156"/>
      <c r="F742" s="1156"/>
      <c r="G742" s="1156"/>
      <c r="H742" s="1156"/>
      <c r="I742" s="468"/>
      <c r="J742" s="76"/>
      <c r="K742" s="843"/>
      <c r="L742" s="1157"/>
      <c r="M742" s="1158"/>
      <c r="N742" s="1158"/>
      <c r="O742" s="1158"/>
    </row>
    <row r="743" spans="1:15" x14ac:dyDescent="0.2">
      <c r="A743" s="75"/>
      <c r="B743" s="52">
        <f t="shared" si="13"/>
        <v>1</v>
      </c>
      <c r="C743" s="45"/>
      <c r="D743" s="1156"/>
      <c r="E743" s="1156"/>
      <c r="F743" s="1156"/>
      <c r="G743" s="1156"/>
      <c r="H743" s="1156"/>
      <c r="I743" s="468"/>
      <c r="J743" s="76"/>
      <c r="K743" s="843"/>
      <c r="L743" s="1157"/>
      <c r="M743" s="1158"/>
      <c r="N743" s="1158"/>
      <c r="O743" s="1158"/>
    </row>
    <row r="744" spans="1:15" x14ac:dyDescent="0.2">
      <c r="A744" s="75"/>
      <c r="B744" s="52">
        <f t="shared" si="13"/>
        <v>1</v>
      </c>
      <c r="C744" s="45"/>
      <c r="D744" s="1156"/>
      <c r="E744" s="1156"/>
      <c r="F744" s="1156"/>
      <c r="G744" s="1156"/>
      <c r="H744" s="1156"/>
      <c r="I744" s="468"/>
      <c r="J744" s="76"/>
      <c r="K744" s="843"/>
      <c r="L744" s="1157"/>
      <c r="M744" s="1158"/>
      <c r="N744" s="1158"/>
      <c r="O744" s="1158"/>
    </row>
    <row r="745" spans="1:15" x14ac:dyDescent="0.2">
      <c r="A745" s="75"/>
      <c r="B745" s="52">
        <f t="shared" si="13"/>
        <v>1</v>
      </c>
      <c r="C745" s="45"/>
      <c r="D745" s="1156"/>
      <c r="E745" s="1156"/>
      <c r="F745" s="1156"/>
      <c r="G745" s="1156"/>
      <c r="H745" s="1156"/>
      <c r="I745" s="468"/>
      <c r="J745" s="76"/>
      <c r="K745" s="843"/>
      <c r="L745" s="1157"/>
      <c r="M745" s="1158"/>
      <c r="N745" s="1158"/>
      <c r="O745" s="1158"/>
    </row>
    <row r="746" spans="1:15" x14ac:dyDescent="0.2">
      <c r="A746" s="75"/>
      <c r="B746" s="52">
        <f t="shared" si="13"/>
        <v>1</v>
      </c>
      <c r="C746" s="45"/>
      <c r="D746" s="1156"/>
      <c r="E746" s="1156"/>
      <c r="F746" s="1156"/>
      <c r="G746" s="1156"/>
      <c r="H746" s="1156"/>
      <c r="I746" s="468"/>
      <c r="J746" s="76"/>
      <c r="K746" s="843"/>
      <c r="L746" s="1157"/>
      <c r="M746" s="1158"/>
      <c r="N746" s="1158"/>
      <c r="O746" s="1158"/>
    </row>
    <row r="747" spans="1:15" x14ac:dyDescent="0.2">
      <c r="A747" s="75"/>
      <c r="B747" s="52">
        <f t="shared" si="13"/>
        <v>1</v>
      </c>
      <c r="C747" s="45"/>
      <c r="D747" s="1156"/>
      <c r="E747" s="1156"/>
      <c r="F747" s="1156"/>
      <c r="G747" s="1156"/>
      <c r="H747" s="1156"/>
      <c r="I747" s="468"/>
      <c r="J747" s="76"/>
      <c r="K747" s="843"/>
      <c r="L747" s="1157"/>
      <c r="M747" s="1158"/>
      <c r="N747" s="1158"/>
      <c r="O747" s="1158"/>
    </row>
    <row r="748" spans="1:15" x14ac:dyDescent="0.2">
      <c r="A748" s="75"/>
      <c r="B748" s="52">
        <f t="shared" si="13"/>
        <v>1</v>
      </c>
      <c r="C748" s="45"/>
      <c r="D748" s="1156"/>
      <c r="E748" s="1156"/>
      <c r="F748" s="1156"/>
      <c r="G748" s="1156"/>
      <c r="H748" s="1156"/>
      <c r="I748" s="468"/>
      <c r="J748" s="76"/>
      <c r="K748" s="843"/>
      <c r="L748" s="1157"/>
      <c r="M748" s="1158"/>
      <c r="N748" s="1158"/>
      <c r="O748" s="1158"/>
    </row>
    <row r="749" spans="1:15" x14ac:dyDescent="0.2">
      <c r="A749" s="75"/>
      <c r="B749" s="52">
        <f t="shared" si="13"/>
        <v>1</v>
      </c>
      <c r="C749" s="45"/>
      <c r="D749" s="1156"/>
      <c r="E749" s="1156"/>
      <c r="F749" s="1156"/>
      <c r="G749" s="1156"/>
      <c r="H749" s="1156"/>
      <c r="I749" s="468"/>
      <c r="J749" s="76"/>
      <c r="K749" s="843"/>
      <c r="L749" s="1157"/>
      <c r="M749" s="1158"/>
      <c r="N749" s="1158"/>
      <c r="O749" s="1158"/>
    </row>
    <row r="750" spans="1:15" x14ac:dyDescent="0.2">
      <c r="A750" s="75"/>
      <c r="B750" s="52">
        <f t="shared" si="13"/>
        <v>1</v>
      </c>
      <c r="C750" s="45"/>
      <c r="D750" s="1156"/>
      <c r="E750" s="1156"/>
      <c r="F750" s="1156"/>
      <c r="G750" s="1156"/>
      <c r="H750" s="1156"/>
      <c r="I750" s="468"/>
      <c r="J750" s="76"/>
      <c r="K750" s="843"/>
      <c r="L750" s="1157"/>
      <c r="M750" s="1158"/>
      <c r="N750" s="1158"/>
      <c r="O750" s="1158"/>
    </row>
    <row r="751" spans="1:15" x14ac:dyDescent="0.2">
      <c r="A751" s="75"/>
      <c r="B751" s="52">
        <f t="shared" si="13"/>
        <v>1</v>
      </c>
      <c r="C751" s="45"/>
      <c r="D751" s="1156"/>
      <c r="E751" s="1156"/>
      <c r="F751" s="1156"/>
      <c r="G751" s="1156"/>
      <c r="H751" s="1156"/>
      <c r="I751" s="468"/>
      <c r="J751" s="76"/>
      <c r="K751" s="843"/>
      <c r="L751" s="1157"/>
      <c r="M751" s="1158"/>
      <c r="N751" s="1158"/>
      <c r="O751" s="1158"/>
    </row>
    <row r="752" spans="1:15" x14ac:dyDescent="0.2">
      <c r="A752" s="75"/>
      <c r="B752" s="52">
        <f t="shared" si="13"/>
        <v>1</v>
      </c>
      <c r="C752" s="45"/>
      <c r="D752" s="1156"/>
      <c r="E752" s="1156"/>
      <c r="F752" s="1156"/>
      <c r="G752" s="1156"/>
      <c r="H752" s="1156"/>
      <c r="I752" s="468"/>
      <c r="J752" s="76"/>
      <c r="K752" s="843"/>
      <c r="L752" s="1157"/>
      <c r="M752" s="1158"/>
      <c r="N752" s="1158"/>
      <c r="O752" s="1158"/>
    </row>
    <row r="753" spans="1:15" x14ac:dyDescent="0.2">
      <c r="A753" s="75"/>
      <c r="B753" s="52">
        <f t="shared" si="13"/>
        <v>1</v>
      </c>
      <c r="C753" s="45"/>
      <c r="D753" s="1156"/>
      <c r="E753" s="1156"/>
      <c r="F753" s="1156"/>
      <c r="G753" s="1156"/>
      <c r="H753" s="1156"/>
      <c r="I753" s="468"/>
      <c r="J753" s="76"/>
      <c r="K753" s="843"/>
      <c r="L753" s="1157"/>
      <c r="M753" s="1158"/>
      <c r="N753" s="1158"/>
      <c r="O753" s="1158"/>
    </row>
    <row r="754" spans="1:15" x14ac:dyDescent="0.2">
      <c r="A754" s="75"/>
      <c r="B754" s="52">
        <f t="shared" si="13"/>
        <v>1</v>
      </c>
      <c r="C754" s="45"/>
      <c r="D754" s="1156"/>
      <c r="E754" s="1156"/>
      <c r="F754" s="1156"/>
      <c r="G754" s="1156"/>
      <c r="H754" s="1156"/>
      <c r="I754" s="468"/>
      <c r="J754" s="76"/>
      <c r="K754" s="843"/>
      <c r="L754" s="1157"/>
      <c r="M754" s="1158"/>
      <c r="N754" s="1158"/>
      <c r="O754" s="1158"/>
    </row>
    <row r="755" spans="1:15" x14ac:dyDescent="0.2">
      <c r="A755" s="75"/>
      <c r="B755" s="52">
        <f t="shared" si="13"/>
        <v>1</v>
      </c>
      <c r="C755" s="45"/>
      <c r="D755" s="1156"/>
      <c r="E755" s="1156"/>
      <c r="F755" s="1156"/>
      <c r="G755" s="1156"/>
      <c r="H755" s="1156"/>
      <c r="I755" s="468"/>
      <c r="J755" s="76"/>
      <c r="K755" s="843"/>
      <c r="L755" s="1157"/>
      <c r="M755" s="1158"/>
      <c r="N755" s="1158"/>
      <c r="O755" s="1158"/>
    </row>
    <row r="756" spans="1:15" x14ac:dyDescent="0.2">
      <c r="A756" s="75"/>
      <c r="B756" s="52">
        <f t="shared" si="13"/>
        <v>1</v>
      </c>
      <c r="C756" s="45"/>
      <c r="D756" s="1156"/>
      <c r="E756" s="1156"/>
      <c r="F756" s="1156"/>
      <c r="G756" s="1156"/>
      <c r="H756" s="1156"/>
      <c r="I756" s="468"/>
      <c r="J756" s="76"/>
      <c r="K756" s="843"/>
      <c r="L756" s="1157"/>
      <c r="M756" s="1158"/>
      <c r="N756" s="1158"/>
      <c r="O756" s="1158"/>
    </row>
    <row r="757" spans="1:15" x14ac:dyDescent="0.2">
      <c r="A757" s="75"/>
      <c r="B757" s="52">
        <f t="shared" si="13"/>
        <v>1</v>
      </c>
      <c r="C757" s="45"/>
      <c r="D757" s="1156"/>
      <c r="E757" s="1156"/>
      <c r="F757" s="1156"/>
      <c r="G757" s="1156"/>
      <c r="H757" s="1156"/>
      <c r="I757" s="468"/>
      <c r="J757" s="76"/>
      <c r="K757" s="843"/>
      <c r="L757" s="1157"/>
      <c r="M757" s="1158"/>
      <c r="N757" s="1158"/>
      <c r="O757" s="1158"/>
    </row>
    <row r="758" spans="1:15" x14ac:dyDescent="0.2">
      <c r="A758" s="75"/>
      <c r="B758" s="52">
        <f t="shared" si="13"/>
        <v>1</v>
      </c>
      <c r="C758" s="45"/>
      <c r="D758" s="1156"/>
      <c r="E758" s="1156"/>
      <c r="F758" s="1156"/>
      <c r="G758" s="1156"/>
      <c r="H758" s="1156"/>
      <c r="I758" s="468"/>
      <c r="J758" s="76"/>
      <c r="K758" s="843"/>
      <c r="L758" s="1157"/>
      <c r="M758" s="1158"/>
      <c r="N758" s="1158"/>
      <c r="O758" s="1158"/>
    </row>
    <row r="759" spans="1:15" x14ac:dyDescent="0.2">
      <c r="A759" s="75"/>
      <c r="B759" s="52">
        <f t="shared" si="13"/>
        <v>1</v>
      </c>
      <c r="C759" s="45"/>
      <c r="D759" s="1156"/>
      <c r="E759" s="1156"/>
      <c r="F759" s="1156"/>
      <c r="G759" s="1156"/>
      <c r="H759" s="1156"/>
      <c r="I759" s="468"/>
      <c r="J759" s="76"/>
      <c r="K759" s="843"/>
      <c r="L759" s="1157"/>
      <c r="M759" s="1158"/>
      <c r="N759" s="1158"/>
      <c r="O759" s="1158"/>
    </row>
    <row r="760" spans="1:15" x14ac:dyDescent="0.2">
      <c r="A760" s="75"/>
      <c r="B760" s="52">
        <f t="shared" si="13"/>
        <v>1</v>
      </c>
      <c r="C760" s="45"/>
      <c r="D760" s="1156"/>
      <c r="E760" s="1156"/>
      <c r="F760" s="1156"/>
      <c r="G760" s="1156"/>
      <c r="H760" s="1156"/>
      <c r="I760" s="468"/>
      <c r="J760" s="76"/>
      <c r="K760" s="843"/>
      <c r="L760" s="1157"/>
      <c r="M760" s="1158"/>
      <c r="N760" s="1158"/>
      <c r="O760" s="1158"/>
    </row>
    <row r="761" spans="1:15" x14ac:dyDescent="0.2">
      <c r="A761" s="75"/>
      <c r="B761" s="52">
        <f t="shared" si="13"/>
        <v>1</v>
      </c>
      <c r="C761" s="45"/>
      <c r="D761" s="1156"/>
      <c r="E761" s="1156"/>
      <c r="F761" s="1156"/>
      <c r="G761" s="1156"/>
      <c r="H761" s="1156"/>
      <c r="I761" s="468"/>
      <c r="J761" s="76"/>
      <c r="K761" s="843"/>
      <c r="L761" s="1157"/>
      <c r="M761" s="1158"/>
      <c r="N761" s="1158"/>
      <c r="O761" s="1158"/>
    </row>
    <row r="762" spans="1:15" x14ac:dyDescent="0.2">
      <c r="A762" s="75"/>
      <c r="B762" s="52">
        <f t="shared" si="13"/>
        <v>1</v>
      </c>
      <c r="C762" s="45"/>
      <c r="D762" s="1156"/>
      <c r="E762" s="1156"/>
      <c r="F762" s="1156"/>
      <c r="G762" s="1156"/>
      <c r="H762" s="1156"/>
      <c r="I762" s="468"/>
      <c r="J762" s="76"/>
      <c r="K762" s="843"/>
      <c r="L762" s="1157"/>
      <c r="M762" s="1158"/>
      <c r="N762" s="1158"/>
      <c r="O762" s="1158"/>
    </row>
    <row r="763" spans="1:15" x14ac:dyDescent="0.2">
      <c r="A763" s="75"/>
      <c r="B763" s="52">
        <f t="shared" si="13"/>
        <v>1</v>
      </c>
      <c r="C763" s="45"/>
      <c r="D763" s="1156"/>
      <c r="E763" s="1156"/>
      <c r="F763" s="1156"/>
      <c r="G763" s="1156"/>
      <c r="H763" s="1156"/>
      <c r="I763" s="468"/>
      <c r="J763" s="76"/>
      <c r="K763" s="843"/>
      <c r="L763" s="1157"/>
      <c r="M763" s="1158"/>
      <c r="N763" s="1158"/>
      <c r="O763" s="1158"/>
    </row>
    <row r="764" spans="1:15" x14ac:dyDescent="0.2">
      <c r="A764" s="75"/>
      <c r="B764" s="52">
        <f t="shared" si="13"/>
        <v>1</v>
      </c>
      <c r="C764" s="45"/>
      <c r="D764" s="1156"/>
      <c r="E764" s="1156"/>
      <c r="F764" s="1156"/>
      <c r="G764" s="1156"/>
      <c r="H764" s="1156"/>
      <c r="I764" s="468"/>
      <c r="J764" s="76"/>
      <c r="K764" s="843"/>
      <c r="L764" s="1157"/>
      <c r="M764" s="1158"/>
      <c r="N764" s="1158"/>
      <c r="O764" s="1158"/>
    </row>
    <row r="765" spans="1:15" x14ac:dyDescent="0.2">
      <c r="A765" s="75"/>
      <c r="B765" s="52">
        <f t="shared" si="13"/>
        <v>1</v>
      </c>
      <c r="C765" s="45"/>
      <c r="D765" s="1156"/>
      <c r="E765" s="1156"/>
      <c r="F765" s="1156"/>
      <c r="G765" s="1156"/>
      <c r="H765" s="1156"/>
      <c r="I765" s="468"/>
      <c r="J765" s="76"/>
      <c r="K765" s="843"/>
      <c r="L765" s="1157"/>
      <c r="M765" s="1158"/>
      <c r="N765" s="1158"/>
      <c r="O765" s="1158"/>
    </row>
    <row r="766" spans="1:15" x14ac:dyDescent="0.2">
      <c r="A766" s="75"/>
      <c r="B766" s="52">
        <f t="shared" si="13"/>
        <v>1</v>
      </c>
      <c r="C766" s="45"/>
      <c r="D766" s="1156"/>
      <c r="E766" s="1156"/>
      <c r="F766" s="1156"/>
      <c r="G766" s="1156"/>
      <c r="H766" s="1156"/>
      <c r="I766" s="468"/>
      <c r="J766" s="76"/>
      <c r="K766" s="843"/>
      <c r="L766" s="1157"/>
      <c r="M766" s="1158"/>
      <c r="N766" s="1158"/>
      <c r="O766" s="1158"/>
    </row>
    <row r="767" spans="1:15" x14ac:dyDescent="0.2">
      <c r="A767" s="75"/>
      <c r="B767" s="52">
        <f t="shared" si="13"/>
        <v>1</v>
      </c>
      <c r="C767" s="45"/>
      <c r="D767" s="1156"/>
      <c r="E767" s="1156"/>
      <c r="F767" s="1156"/>
      <c r="G767" s="1156"/>
      <c r="H767" s="1156"/>
      <c r="I767" s="468"/>
      <c r="J767" s="76"/>
      <c r="K767" s="843"/>
      <c r="L767" s="1157"/>
      <c r="M767" s="1158"/>
      <c r="N767" s="1158"/>
      <c r="O767" s="1158"/>
    </row>
    <row r="768" spans="1:15" x14ac:dyDescent="0.2">
      <c r="A768" s="75"/>
      <c r="B768" s="52">
        <f t="shared" si="13"/>
        <v>1</v>
      </c>
      <c r="C768" s="45"/>
      <c r="D768" s="1156"/>
      <c r="E768" s="1156"/>
      <c r="F768" s="1156"/>
      <c r="G768" s="1156"/>
      <c r="H768" s="1156"/>
      <c r="I768" s="468"/>
      <c r="J768" s="76"/>
      <c r="K768" s="843"/>
      <c r="L768" s="1157"/>
      <c r="M768" s="1158"/>
      <c r="N768" s="1158"/>
      <c r="O768" s="1158"/>
    </row>
    <row r="769" spans="1:15" x14ac:dyDescent="0.2">
      <c r="A769" s="75"/>
      <c r="B769" s="52">
        <f t="shared" si="13"/>
        <v>1</v>
      </c>
      <c r="C769" s="45"/>
      <c r="D769" s="1156"/>
      <c r="E769" s="1156"/>
      <c r="F769" s="1156"/>
      <c r="G769" s="1156"/>
      <c r="H769" s="1156"/>
      <c r="I769" s="468"/>
      <c r="J769" s="76"/>
      <c r="K769" s="843"/>
      <c r="L769" s="1157"/>
      <c r="M769" s="1158"/>
      <c r="N769" s="1158"/>
      <c r="O769" s="1158"/>
    </row>
    <row r="770" spans="1:15" x14ac:dyDescent="0.2">
      <c r="A770" s="75"/>
      <c r="B770" s="52">
        <f t="shared" si="13"/>
        <v>1</v>
      </c>
      <c r="C770" s="45"/>
      <c r="D770" s="1156"/>
      <c r="E770" s="1156"/>
      <c r="F770" s="1156"/>
      <c r="G770" s="1156"/>
      <c r="H770" s="1156"/>
      <c r="I770" s="468"/>
      <c r="J770" s="76"/>
      <c r="K770" s="843"/>
      <c r="L770" s="1157"/>
      <c r="M770" s="1158"/>
      <c r="N770" s="1158"/>
      <c r="O770" s="1158"/>
    </row>
    <row r="771" spans="1:15" x14ac:dyDescent="0.2">
      <c r="A771" s="75"/>
      <c r="B771" s="52">
        <f t="shared" si="13"/>
        <v>1</v>
      </c>
      <c r="C771" s="45"/>
      <c r="D771" s="1156"/>
      <c r="E771" s="1156"/>
      <c r="F771" s="1156"/>
      <c r="G771" s="1156"/>
      <c r="H771" s="1156"/>
      <c r="I771" s="468"/>
      <c r="J771" s="76"/>
      <c r="K771" s="843"/>
      <c r="L771" s="1157"/>
      <c r="M771" s="1158"/>
      <c r="N771" s="1158"/>
      <c r="O771" s="1158"/>
    </row>
    <row r="772" spans="1:15" x14ac:dyDescent="0.2">
      <c r="A772" s="75"/>
      <c r="B772" s="52">
        <f t="shared" si="13"/>
        <v>1</v>
      </c>
      <c r="C772" s="45"/>
      <c r="D772" s="1156"/>
      <c r="E772" s="1156"/>
      <c r="F772" s="1156"/>
      <c r="G772" s="1156"/>
      <c r="H772" s="1156"/>
      <c r="I772" s="468"/>
      <c r="J772" s="76"/>
      <c r="K772" s="843"/>
      <c r="L772" s="1157"/>
      <c r="M772" s="1158"/>
      <c r="N772" s="1158"/>
      <c r="O772" s="1158"/>
    </row>
    <row r="773" spans="1:15" x14ac:dyDescent="0.2">
      <c r="A773" s="75"/>
      <c r="B773" s="52">
        <f t="shared" si="13"/>
        <v>1</v>
      </c>
      <c r="C773" s="45"/>
      <c r="D773" s="1156"/>
      <c r="E773" s="1156"/>
      <c r="F773" s="1156"/>
      <c r="G773" s="1156"/>
      <c r="H773" s="1156"/>
      <c r="I773" s="468"/>
      <c r="J773" s="76"/>
      <c r="K773" s="843"/>
      <c r="L773" s="1157"/>
      <c r="M773" s="1158"/>
      <c r="N773" s="1158"/>
      <c r="O773" s="1158"/>
    </row>
    <row r="774" spans="1:15" x14ac:dyDescent="0.2">
      <c r="A774" s="75"/>
      <c r="B774" s="52">
        <f t="shared" si="13"/>
        <v>1</v>
      </c>
      <c r="C774" s="45"/>
      <c r="D774" s="1156"/>
      <c r="E774" s="1156"/>
      <c r="F774" s="1156"/>
      <c r="G774" s="1156"/>
      <c r="H774" s="1156"/>
      <c r="I774" s="468"/>
      <c r="J774" s="76"/>
      <c r="K774" s="843"/>
      <c r="L774" s="1157"/>
      <c r="M774" s="1158"/>
      <c r="N774" s="1158"/>
      <c r="O774" s="1158"/>
    </row>
    <row r="775" spans="1:15" x14ac:dyDescent="0.2">
      <c r="A775" s="75"/>
      <c r="B775" s="52">
        <f t="shared" si="13"/>
        <v>1</v>
      </c>
      <c r="C775" s="45"/>
      <c r="D775" s="1156"/>
      <c r="E775" s="1156"/>
      <c r="F775" s="1156"/>
      <c r="G775" s="1156"/>
      <c r="H775" s="1156"/>
      <c r="I775" s="468"/>
      <c r="J775" s="76"/>
      <c r="K775" s="843"/>
      <c r="L775" s="1157"/>
      <c r="M775" s="1158"/>
      <c r="N775" s="1158"/>
      <c r="O775" s="1158"/>
    </row>
    <row r="776" spans="1:15" x14ac:dyDescent="0.2">
      <c r="A776" s="75"/>
      <c r="B776" s="52">
        <f t="shared" si="13"/>
        <v>1</v>
      </c>
      <c r="C776" s="45"/>
      <c r="D776" s="1156"/>
      <c r="E776" s="1156"/>
      <c r="F776" s="1156"/>
      <c r="G776" s="1156"/>
      <c r="H776" s="1156"/>
      <c r="I776" s="468"/>
      <c r="J776" s="76"/>
      <c r="K776" s="843"/>
      <c r="L776" s="1157"/>
      <c r="M776" s="1158"/>
      <c r="N776" s="1158"/>
      <c r="O776" s="1158"/>
    </row>
    <row r="777" spans="1:15" x14ac:dyDescent="0.2">
      <c r="A777" s="75"/>
      <c r="B777" s="52">
        <f t="shared" si="13"/>
        <v>1</v>
      </c>
      <c r="C777" s="45"/>
      <c r="D777" s="1156"/>
      <c r="E777" s="1156"/>
      <c r="F777" s="1156"/>
      <c r="G777" s="1156"/>
      <c r="H777" s="1156"/>
      <c r="I777" s="468"/>
      <c r="J777" s="76"/>
      <c r="K777" s="843"/>
      <c r="L777" s="1157"/>
      <c r="M777" s="1158"/>
      <c r="N777" s="1158"/>
      <c r="O777" s="1158"/>
    </row>
    <row r="778" spans="1:15" x14ac:dyDescent="0.2">
      <c r="A778" s="75"/>
      <c r="B778" s="52">
        <f t="shared" si="13"/>
        <v>1</v>
      </c>
      <c r="C778" s="45"/>
      <c r="D778" s="1156"/>
      <c r="E778" s="1156"/>
      <c r="F778" s="1156"/>
      <c r="G778" s="1156"/>
      <c r="H778" s="1156"/>
      <c r="I778" s="468"/>
      <c r="J778" s="76"/>
      <c r="K778" s="843"/>
      <c r="L778" s="1157"/>
      <c r="M778" s="1158"/>
      <c r="N778" s="1158"/>
      <c r="O778" s="1158"/>
    </row>
    <row r="779" spans="1:15" x14ac:dyDescent="0.2">
      <c r="A779" s="75"/>
      <c r="B779" s="52">
        <f t="shared" si="13"/>
        <v>1</v>
      </c>
      <c r="C779" s="45"/>
      <c r="D779" s="1156"/>
      <c r="E779" s="1156"/>
      <c r="F779" s="1156"/>
      <c r="G779" s="1156"/>
      <c r="H779" s="1156"/>
      <c r="I779" s="468"/>
      <c r="J779" s="76"/>
      <c r="K779" s="843"/>
      <c r="L779" s="1157"/>
      <c r="M779" s="1158"/>
      <c r="N779" s="1158"/>
      <c r="O779" s="1158"/>
    </row>
    <row r="780" spans="1:15" x14ac:dyDescent="0.2">
      <c r="A780" s="75"/>
      <c r="B780" s="52">
        <f t="shared" si="13"/>
        <v>1</v>
      </c>
      <c r="C780" s="45"/>
      <c r="D780" s="1156"/>
      <c r="E780" s="1156"/>
      <c r="F780" s="1156"/>
      <c r="G780" s="1156"/>
      <c r="H780" s="1156"/>
      <c r="I780" s="468"/>
      <c r="J780" s="76"/>
      <c r="K780" s="843"/>
      <c r="L780" s="1157"/>
      <c r="M780" s="1158"/>
      <c r="N780" s="1158"/>
      <c r="O780" s="1158"/>
    </row>
    <row r="781" spans="1:15" x14ac:dyDescent="0.2">
      <c r="A781" s="75"/>
      <c r="B781" s="52">
        <f t="shared" si="13"/>
        <v>1</v>
      </c>
      <c r="C781" s="45"/>
      <c r="D781" s="1156"/>
      <c r="E781" s="1156"/>
      <c r="F781" s="1156"/>
      <c r="G781" s="1156"/>
      <c r="H781" s="1156"/>
      <c r="I781" s="468"/>
      <c r="J781" s="76"/>
      <c r="K781" s="843"/>
      <c r="L781" s="1157"/>
      <c r="M781" s="1158"/>
      <c r="N781" s="1158"/>
      <c r="O781" s="1158"/>
    </row>
    <row r="782" spans="1:15" x14ac:dyDescent="0.2">
      <c r="A782" s="75"/>
      <c r="B782" s="52">
        <f t="shared" ref="B782:B845" si="14">MONTH(A782)</f>
        <v>1</v>
      </c>
      <c r="C782" s="45"/>
      <c r="D782" s="1156"/>
      <c r="E782" s="1156"/>
      <c r="F782" s="1156"/>
      <c r="G782" s="1156"/>
      <c r="H782" s="1156"/>
      <c r="I782" s="468"/>
      <c r="J782" s="76"/>
      <c r="K782" s="843"/>
      <c r="L782" s="1157"/>
      <c r="M782" s="1158"/>
      <c r="N782" s="1158"/>
      <c r="O782" s="1158"/>
    </row>
    <row r="783" spans="1:15" x14ac:dyDescent="0.2">
      <c r="A783" s="75"/>
      <c r="B783" s="52">
        <f t="shared" si="14"/>
        <v>1</v>
      </c>
      <c r="C783" s="45"/>
      <c r="D783" s="1156"/>
      <c r="E783" s="1156"/>
      <c r="F783" s="1156"/>
      <c r="G783" s="1156"/>
      <c r="H783" s="1156"/>
      <c r="I783" s="468"/>
      <c r="J783" s="76"/>
      <c r="K783" s="843"/>
      <c r="L783" s="1157"/>
      <c r="M783" s="1158"/>
      <c r="N783" s="1158"/>
      <c r="O783" s="1158"/>
    </row>
    <row r="784" spans="1:15" x14ac:dyDescent="0.2">
      <c r="A784" s="75"/>
      <c r="B784" s="52">
        <f t="shared" si="14"/>
        <v>1</v>
      </c>
      <c r="C784" s="45"/>
      <c r="D784" s="1156"/>
      <c r="E784" s="1156"/>
      <c r="F784" s="1156"/>
      <c r="G784" s="1156"/>
      <c r="H784" s="1156"/>
      <c r="I784" s="468"/>
      <c r="J784" s="76"/>
      <c r="K784" s="843"/>
      <c r="L784" s="1157"/>
      <c r="M784" s="1158"/>
      <c r="N784" s="1158"/>
      <c r="O784" s="1158"/>
    </row>
    <row r="785" spans="1:15" x14ac:dyDescent="0.2">
      <c r="A785" s="75"/>
      <c r="B785" s="52">
        <f t="shared" si="14"/>
        <v>1</v>
      </c>
      <c r="C785" s="45"/>
      <c r="D785" s="1156"/>
      <c r="E785" s="1156"/>
      <c r="F785" s="1156"/>
      <c r="G785" s="1156"/>
      <c r="H785" s="1156"/>
      <c r="I785" s="468"/>
      <c r="J785" s="76"/>
      <c r="K785" s="843"/>
      <c r="L785" s="1157"/>
      <c r="M785" s="1158"/>
      <c r="N785" s="1158"/>
      <c r="O785" s="1158"/>
    </row>
    <row r="786" spans="1:15" x14ac:dyDescent="0.2">
      <c r="A786" s="75"/>
      <c r="B786" s="52">
        <f t="shared" si="14"/>
        <v>1</v>
      </c>
      <c r="C786" s="45"/>
      <c r="D786" s="1156"/>
      <c r="E786" s="1156"/>
      <c r="F786" s="1156"/>
      <c r="G786" s="1156"/>
      <c r="H786" s="1156"/>
      <c r="I786" s="468"/>
      <c r="J786" s="76"/>
      <c r="K786" s="843"/>
      <c r="L786" s="1157"/>
      <c r="M786" s="1158"/>
      <c r="N786" s="1158"/>
      <c r="O786" s="1158"/>
    </row>
    <row r="787" spans="1:15" x14ac:dyDescent="0.2">
      <c r="A787" s="75"/>
      <c r="B787" s="52">
        <f t="shared" si="14"/>
        <v>1</v>
      </c>
      <c r="C787" s="45"/>
      <c r="D787" s="1156"/>
      <c r="E787" s="1156"/>
      <c r="F787" s="1156"/>
      <c r="G787" s="1156"/>
      <c r="H787" s="1156"/>
      <c r="I787" s="468"/>
      <c r="J787" s="76"/>
      <c r="K787" s="843"/>
      <c r="L787" s="1157"/>
      <c r="M787" s="1158"/>
      <c r="N787" s="1158"/>
      <c r="O787" s="1158"/>
    </row>
    <row r="788" spans="1:15" x14ac:dyDescent="0.2">
      <c r="A788" s="75"/>
      <c r="B788" s="52">
        <f t="shared" si="14"/>
        <v>1</v>
      </c>
      <c r="C788" s="45"/>
      <c r="D788" s="1156"/>
      <c r="E788" s="1156"/>
      <c r="F788" s="1156"/>
      <c r="G788" s="1156"/>
      <c r="H788" s="1156"/>
      <c r="I788" s="468"/>
      <c r="J788" s="76"/>
      <c r="K788" s="843"/>
      <c r="L788" s="1157"/>
      <c r="M788" s="1158"/>
      <c r="N788" s="1158"/>
      <c r="O788" s="1158"/>
    </row>
    <row r="789" spans="1:15" x14ac:dyDescent="0.2">
      <c r="A789" s="75"/>
      <c r="B789" s="52">
        <f t="shared" si="14"/>
        <v>1</v>
      </c>
      <c r="C789" s="45"/>
      <c r="D789" s="1156"/>
      <c r="E789" s="1156"/>
      <c r="F789" s="1156"/>
      <c r="G789" s="1156"/>
      <c r="H789" s="1156"/>
      <c r="I789" s="468"/>
      <c r="J789" s="76"/>
      <c r="K789" s="843"/>
      <c r="L789" s="1157"/>
      <c r="M789" s="1158"/>
      <c r="N789" s="1158"/>
      <c r="O789" s="1158"/>
    </row>
    <row r="790" spans="1:15" x14ac:dyDescent="0.2">
      <c r="A790" s="75"/>
      <c r="B790" s="52">
        <f t="shared" si="14"/>
        <v>1</v>
      </c>
      <c r="C790" s="45"/>
      <c r="D790" s="1156"/>
      <c r="E790" s="1156"/>
      <c r="F790" s="1156"/>
      <c r="G790" s="1156"/>
      <c r="H790" s="1156"/>
      <c r="I790" s="468"/>
      <c r="J790" s="76"/>
      <c r="K790" s="843"/>
      <c r="L790" s="1157"/>
      <c r="M790" s="1158"/>
      <c r="N790" s="1158"/>
      <c r="O790" s="1158"/>
    </row>
    <row r="791" spans="1:15" x14ac:dyDescent="0.2">
      <c r="A791" s="75"/>
      <c r="B791" s="52">
        <f t="shared" si="14"/>
        <v>1</v>
      </c>
      <c r="C791" s="45"/>
      <c r="D791" s="1156"/>
      <c r="E791" s="1156"/>
      <c r="F791" s="1156"/>
      <c r="G791" s="1156"/>
      <c r="H791" s="1156"/>
      <c r="I791" s="468"/>
      <c r="J791" s="76"/>
      <c r="K791" s="843"/>
      <c r="L791" s="1157"/>
      <c r="M791" s="1158"/>
      <c r="N791" s="1158"/>
      <c r="O791" s="1158"/>
    </row>
    <row r="792" spans="1:15" x14ac:dyDescent="0.2">
      <c r="A792" s="75"/>
      <c r="B792" s="52">
        <f t="shared" si="14"/>
        <v>1</v>
      </c>
      <c r="C792" s="45"/>
      <c r="D792" s="1156"/>
      <c r="E792" s="1156"/>
      <c r="F792" s="1156"/>
      <c r="G792" s="1156"/>
      <c r="H792" s="1156"/>
      <c r="I792" s="468"/>
      <c r="J792" s="76"/>
      <c r="K792" s="843"/>
      <c r="L792" s="1157"/>
      <c r="M792" s="1158"/>
      <c r="N792" s="1158"/>
      <c r="O792" s="1158"/>
    </row>
    <row r="793" spans="1:15" x14ac:dyDescent="0.2">
      <c r="A793" s="75"/>
      <c r="B793" s="52">
        <f t="shared" si="14"/>
        <v>1</v>
      </c>
      <c r="C793" s="45"/>
      <c r="D793" s="1156"/>
      <c r="E793" s="1156"/>
      <c r="F793" s="1156"/>
      <c r="G793" s="1156"/>
      <c r="H793" s="1156"/>
      <c r="I793" s="468"/>
      <c r="J793" s="76"/>
      <c r="K793" s="843"/>
      <c r="L793" s="1157"/>
      <c r="M793" s="1158"/>
      <c r="N793" s="1158"/>
      <c r="O793" s="1158"/>
    </row>
    <row r="794" spans="1:15" x14ac:dyDescent="0.2">
      <c r="A794" s="75"/>
      <c r="B794" s="52">
        <f t="shared" si="14"/>
        <v>1</v>
      </c>
      <c r="C794" s="45"/>
      <c r="D794" s="1156"/>
      <c r="E794" s="1156"/>
      <c r="F794" s="1156"/>
      <c r="G794" s="1156"/>
      <c r="H794" s="1156"/>
      <c r="I794" s="468"/>
      <c r="J794" s="76"/>
      <c r="K794" s="843"/>
      <c r="L794" s="1157"/>
      <c r="M794" s="1158"/>
      <c r="N794" s="1158"/>
      <c r="O794" s="1158"/>
    </row>
    <row r="795" spans="1:15" x14ac:dyDescent="0.2">
      <c r="A795" s="75"/>
      <c r="B795" s="52">
        <f t="shared" si="14"/>
        <v>1</v>
      </c>
      <c r="C795" s="45"/>
      <c r="D795" s="1156"/>
      <c r="E795" s="1156"/>
      <c r="F795" s="1156"/>
      <c r="G795" s="1156"/>
      <c r="H795" s="1156"/>
      <c r="I795" s="468"/>
      <c r="J795" s="76"/>
      <c r="K795" s="843"/>
      <c r="L795" s="1157"/>
      <c r="M795" s="1158"/>
      <c r="N795" s="1158"/>
      <c r="O795" s="1158"/>
    </row>
    <row r="796" spans="1:15" x14ac:dyDescent="0.2">
      <c r="A796" s="75"/>
      <c r="B796" s="52">
        <f t="shared" si="14"/>
        <v>1</v>
      </c>
      <c r="C796" s="45"/>
      <c r="D796" s="1156"/>
      <c r="E796" s="1156"/>
      <c r="F796" s="1156"/>
      <c r="G796" s="1156"/>
      <c r="H796" s="1156"/>
      <c r="I796" s="468"/>
      <c r="J796" s="76"/>
      <c r="K796" s="843"/>
      <c r="L796" s="1157"/>
      <c r="M796" s="1158"/>
      <c r="N796" s="1158"/>
      <c r="O796" s="1158"/>
    </row>
    <row r="797" spans="1:15" x14ac:dyDescent="0.2">
      <c r="A797" s="75"/>
      <c r="B797" s="52">
        <f t="shared" si="14"/>
        <v>1</v>
      </c>
      <c r="C797" s="45"/>
      <c r="D797" s="1156"/>
      <c r="E797" s="1156"/>
      <c r="F797" s="1156"/>
      <c r="G797" s="1156"/>
      <c r="H797" s="1156"/>
      <c r="I797" s="468"/>
      <c r="J797" s="76"/>
      <c r="K797" s="843"/>
      <c r="L797" s="1157"/>
      <c r="M797" s="1158"/>
      <c r="N797" s="1158"/>
      <c r="O797" s="1158"/>
    </row>
    <row r="798" spans="1:15" x14ac:dyDescent="0.2">
      <c r="A798" s="75"/>
      <c r="B798" s="52">
        <f t="shared" si="14"/>
        <v>1</v>
      </c>
      <c r="C798" s="45"/>
      <c r="D798" s="1156"/>
      <c r="E798" s="1156"/>
      <c r="F798" s="1156"/>
      <c r="G798" s="1156"/>
      <c r="H798" s="1156"/>
      <c r="I798" s="468"/>
      <c r="J798" s="76"/>
      <c r="K798" s="843"/>
      <c r="L798" s="1157"/>
      <c r="M798" s="1158"/>
      <c r="N798" s="1158"/>
      <c r="O798" s="1158"/>
    </row>
    <row r="799" spans="1:15" x14ac:dyDescent="0.2">
      <c r="A799" s="75"/>
      <c r="B799" s="52">
        <f t="shared" si="14"/>
        <v>1</v>
      </c>
      <c r="C799" s="45"/>
      <c r="D799" s="1156"/>
      <c r="E799" s="1156"/>
      <c r="F799" s="1156"/>
      <c r="G799" s="1156"/>
      <c r="H799" s="1156"/>
      <c r="I799" s="468"/>
      <c r="J799" s="76"/>
      <c r="K799" s="843"/>
      <c r="L799" s="1157"/>
      <c r="M799" s="1158"/>
      <c r="N799" s="1158"/>
      <c r="O799" s="1158"/>
    </row>
    <row r="800" spans="1:15" x14ac:dyDescent="0.2">
      <c r="A800" s="75"/>
      <c r="B800" s="52">
        <f t="shared" si="14"/>
        <v>1</v>
      </c>
      <c r="C800" s="45"/>
      <c r="D800" s="1156"/>
      <c r="E800" s="1156"/>
      <c r="F800" s="1156"/>
      <c r="G800" s="1156"/>
      <c r="H800" s="1156"/>
      <c r="I800" s="468"/>
      <c r="J800" s="76"/>
      <c r="K800" s="843"/>
      <c r="L800" s="1157"/>
      <c r="M800" s="1158"/>
      <c r="N800" s="1158"/>
      <c r="O800" s="1158"/>
    </row>
    <row r="801" spans="1:15" x14ac:dyDescent="0.2">
      <c r="A801" s="75"/>
      <c r="B801" s="52">
        <f t="shared" si="14"/>
        <v>1</v>
      </c>
      <c r="C801" s="45"/>
      <c r="D801" s="1156"/>
      <c r="E801" s="1156"/>
      <c r="F801" s="1156"/>
      <c r="G801" s="1156"/>
      <c r="H801" s="1156"/>
      <c r="I801" s="468"/>
      <c r="J801" s="76"/>
      <c r="K801" s="843"/>
      <c r="L801" s="1157"/>
      <c r="M801" s="1158"/>
      <c r="N801" s="1158"/>
      <c r="O801" s="1158"/>
    </row>
    <row r="802" spans="1:15" x14ac:dyDescent="0.2">
      <c r="A802" s="75"/>
      <c r="B802" s="52">
        <f t="shared" si="14"/>
        <v>1</v>
      </c>
      <c r="C802" s="45"/>
      <c r="D802" s="1156"/>
      <c r="E802" s="1156"/>
      <c r="F802" s="1156"/>
      <c r="G802" s="1156"/>
      <c r="H802" s="1156"/>
      <c r="I802" s="468"/>
      <c r="J802" s="76"/>
      <c r="K802" s="843"/>
      <c r="L802" s="1157"/>
      <c r="M802" s="1158"/>
      <c r="N802" s="1158"/>
      <c r="O802" s="1158"/>
    </row>
    <row r="803" spans="1:15" x14ac:dyDescent="0.2">
      <c r="A803" s="75"/>
      <c r="B803" s="52">
        <f t="shared" si="14"/>
        <v>1</v>
      </c>
      <c r="C803" s="45"/>
      <c r="D803" s="1156"/>
      <c r="E803" s="1156"/>
      <c r="F803" s="1156"/>
      <c r="G803" s="1156"/>
      <c r="H803" s="1156"/>
      <c r="I803" s="468"/>
      <c r="J803" s="76"/>
      <c r="K803" s="843"/>
      <c r="L803" s="1157"/>
      <c r="M803" s="1158"/>
      <c r="N803" s="1158"/>
      <c r="O803" s="1158"/>
    </row>
    <row r="804" spans="1:15" x14ac:dyDescent="0.2">
      <c r="A804" s="75"/>
      <c r="B804" s="52">
        <f t="shared" si="14"/>
        <v>1</v>
      </c>
      <c r="C804" s="45"/>
      <c r="D804" s="1156"/>
      <c r="E804" s="1156"/>
      <c r="F804" s="1156"/>
      <c r="G804" s="1156"/>
      <c r="H804" s="1156"/>
      <c r="I804" s="468"/>
      <c r="J804" s="76"/>
      <c r="K804" s="843"/>
      <c r="L804" s="1157"/>
      <c r="M804" s="1158"/>
      <c r="N804" s="1158"/>
      <c r="O804" s="1158"/>
    </row>
    <row r="805" spans="1:15" x14ac:dyDescent="0.2">
      <c r="A805" s="75"/>
      <c r="B805" s="52">
        <f t="shared" si="14"/>
        <v>1</v>
      </c>
      <c r="C805" s="45"/>
      <c r="D805" s="1156"/>
      <c r="E805" s="1156"/>
      <c r="F805" s="1156"/>
      <c r="G805" s="1156"/>
      <c r="H805" s="1156"/>
      <c r="I805" s="468"/>
      <c r="J805" s="76"/>
      <c r="K805" s="843"/>
      <c r="L805" s="1157"/>
      <c r="M805" s="1158"/>
      <c r="N805" s="1158"/>
      <c r="O805" s="1158"/>
    </row>
    <row r="806" spans="1:15" x14ac:dyDescent="0.2">
      <c r="A806" s="75"/>
      <c r="B806" s="52">
        <f t="shared" si="14"/>
        <v>1</v>
      </c>
      <c r="C806" s="45"/>
      <c r="D806" s="1156"/>
      <c r="E806" s="1156"/>
      <c r="F806" s="1156"/>
      <c r="G806" s="1156"/>
      <c r="H806" s="1156"/>
      <c r="I806" s="468"/>
      <c r="J806" s="76"/>
      <c r="K806" s="843"/>
      <c r="L806" s="1157"/>
      <c r="M806" s="1158"/>
      <c r="N806" s="1158"/>
      <c r="O806" s="1158"/>
    </row>
    <row r="807" spans="1:15" x14ac:dyDescent="0.2">
      <c r="A807" s="75"/>
      <c r="B807" s="52">
        <f t="shared" si="14"/>
        <v>1</v>
      </c>
      <c r="C807" s="45"/>
      <c r="D807" s="1156"/>
      <c r="E807" s="1156"/>
      <c r="F807" s="1156"/>
      <c r="G807" s="1156"/>
      <c r="H807" s="1156"/>
      <c r="I807" s="468"/>
      <c r="J807" s="76"/>
      <c r="K807" s="843"/>
      <c r="L807" s="1157"/>
      <c r="M807" s="1158"/>
      <c r="N807" s="1158"/>
      <c r="O807" s="1158"/>
    </row>
    <row r="808" spans="1:15" x14ac:dyDescent="0.2">
      <c r="A808" s="75"/>
      <c r="B808" s="52">
        <f t="shared" si="14"/>
        <v>1</v>
      </c>
      <c r="C808" s="45"/>
      <c r="D808" s="1156"/>
      <c r="E808" s="1156"/>
      <c r="F808" s="1156"/>
      <c r="G808" s="1156"/>
      <c r="H808" s="1156"/>
      <c r="I808" s="468"/>
      <c r="J808" s="76"/>
      <c r="K808" s="843"/>
      <c r="L808" s="1157"/>
      <c r="M808" s="1158"/>
      <c r="N808" s="1158"/>
      <c r="O808" s="1158"/>
    </row>
    <row r="809" spans="1:15" x14ac:dyDescent="0.2">
      <c r="A809" s="75"/>
      <c r="B809" s="52">
        <f t="shared" si="14"/>
        <v>1</v>
      </c>
      <c r="C809" s="45"/>
      <c r="D809" s="1156"/>
      <c r="E809" s="1156"/>
      <c r="F809" s="1156"/>
      <c r="G809" s="1156"/>
      <c r="H809" s="1156"/>
      <c r="I809" s="468"/>
      <c r="J809" s="76"/>
      <c r="K809" s="843"/>
      <c r="L809" s="1157"/>
      <c r="M809" s="1158"/>
      <c r="N809" s="1158"/>
      <c r="O809" s="1158"/>
    </row>
    <row r="810" spans="1:15" x14ac:dyDescent="0.2">
      <c r="A810" s="75"/>
      <c r="B810" s="52">
        <f t="shared" si="14"/>
        <v>1</v>
      </c>
      <c r="C810" s="45"/>
      <c r="D810" s="1156"/>
      <c r="E810" s="1156"/>
      <c r="F810" s="1156"/>
      <c r="G810" s="1156"/>
      <c r="H810" s="1156"/>
      <c r="I810" s="468"/>
      <c r="J810" s="76"/>
      <c r="K810" s="843"/>
      <c r="L810" s="1157"/>
      <c r="M810" s="1158"/>
      <c r="N810" s="1158"/>
      <c r="O810" s="1158"/>
    </row>
    <row r="811" spans="1:15" x14ac:dyDescent="0.2">
      <c r="A811" s="75"/>
      <c r="B811" s="52">
        <f t="shared" si="14"/>
        <v>1</v>
      </c>
      <c r="C811" s="45"/>
      <c r="D811" s="1156"/>
      <c r="E811" s="1156"/>
      <c r="F811" s="1156"/>
      <c r="G811" s="1156"/>
      <c r="H811" s="1156"/>
      <c r="I811" s="468"/>
      <c r="J811" s="76"/>
      <c r="K811" s="843"/>
      <c r="L811" s="1157"/>
      <c r="M811" s="1158"/>
      <c r="N811" s="1158"/>
      <c r="O811" s="1158"/>
    </row>
    <row r="812" spans="1:15" x14ac:dyDescent="0.2">
      <c r="A812" s="75"/>
      <c r="B812" s="52">
        <f t="shared" si="14"/>
        <v>1</v>
      </c>
      <c r="C812" s="45"/>
      <c r="D812" s="1156"/>
      <c r="E812" s="1156"/>
      <c r="F812" s="1156"/>
      <c r="G812" s="1156"/>
      <c r="H812" s="1156"/>
      <c r="I812" s="468"/>
      <c r="J812" s="76"/>
      <c r="K812" s="843"/>
      <c r="L812" s="1157"/>
      <c r="M812" s="1158"/>
      <c r="N812" s="1158"/>
      <c r="O812" s="1158"/>
    </row>
    <row r="813" spans="1:15" x14ac:dyDescent="0.2">
      <c r="A813" s="75"/>
      <c r="B813" s="52">
        <f t="shared" si="14"/>
        <v>1</v>
      </c>
      <c r="C813" s="45"/>
      <c r="D813" s="1156"/>
      <c r="E813" s="1156"/>
      <c r="F813" s="1156"/>
      <c r="G813" s="1156"/>
      <c r="H813" s="1156"/>
      <c r="I813" s="468"/>
      <c r="J813" s="76"/>
      <c r="K813" s="843"/>
      <c r="L813" s="1157"/>
      <c r="M813" s="1158"/>
      <c r="N813" s="1158"/>
      <c r="O813" s="1158"/>
    </row>
    <row r="814" spans="1:15" x14ac:dyDescent="0.2">
      <c r="A814" s="75"/>
      <c r="B814" s="52">
        <f t="shared" si="14"/>
        <v>1</v>
      </c>
      <c r="C814" s="45"/>
      <c r="D814" s="1156"/>
      <c r="E814" s="1156"/>
      <c r="F814" s="1156"/>
      <c r="G814" s="1156"/>
      <c r="H814" s="1156"/>
      <c r="I814" s="468"/>
      <c r="J814" s="76"/>
      <c r="K814" s="843"/>
      <c r="L814" s="1157"/>
      <c r="M814" s="1158"/>
      <c r="N814" s="1158"/>
      <c r="O814" s="1158"/>
    </row>
    <row r="815" spans="1:15" x14ac:dyDescent="0.2">
      <c r="A815" s="75"/>
      <c r="B815" s="52">
        <f t="shared" si="14"/>
        <v>1</v>
      </c>
      <c r="C815" s="45"/>
      <c r="D815" s="1156"/>
      <c r="E815" s="1156"/>
      <c r="F815" s="1156"/>
      <c r="G815" s="1156"/>
      <c r="H815" s="1156"/>
      <c r="I815" s="468"/>
      <c r="J815" s="76"/>
      <c r="K815" s="843"/>
      <c r="L815" s="1157"/>
      <c r="M815" s="1158"/>
      <c r="N815" s="1158"/>
      <c r="O815" s="1158"/>
    </row>
    <row r="816" spans="1:15" x14ac:dyDescent="0.2">
      <c r="A816" s="75"/>
      <c r="B816" s="52">
        <f t="shared" si="14"/>
        <v>1</v>
      </c>
      <c r="C816" s="45"/>
      <c r="D816" s="1156"/>
      <c r="E816" s="1156"/>
      <c r="F816" s="1156"/>
      <c r="G816" s="1156"/>
      <c r="H816" s="1156"/>
      <c r="I816" s="468"/>
      <c r="J816" s="76"/>
      <c r="K816" s="843"/>
      <c r="L816" s="1157"/>
      <c r="M816" s="1158"/>
      <c r="N816" s="1158"/>
      <c r="O816" s="1158"/>
    </row>
    <row r="817" spans="1:15" x14ac:dyDescent="0.2">
      <c r="A817" s="75"/>
      <c r="B817" s="52">
        <f t="shared" si="14"/>
        <v>1</v>
      </c>
      <c r="C817" s="45"/>
      <c r="D817" s="1156"/>
      <c r="E817" s="1156"/>
      <c r="F817" s="1156"/>
      <c r="G817" s="1156"/>
      <c r="H817" s="1156"/>
      <c r="I817" s="468"/>
      <c r="J817" s="76"/>
      <c r="K817" s="843"/>
      <c r="L817" s="1157"/>
      <c r="M817" s="1158"/>
      <c r="N817" s="1158"/>
      <c r="O817" s="1158"/>
    </row>
    <row r="818" spans="1:15" x14ac:dyDescent="0.2">
      <c r="A818" s="75"/>
      <c r="B818" s="52">
        <f t="shared" si="14"/>
        <v>1</v>
      </c>
      <c r="C818" s="45"/>
      <c r="D818" s="1156"/>
      <c r="E818" s="1156"/>
      <c r="F818" s="1156"/>
      <c r="G818" s="1156"/>
      <c r="H818" s="1156"/>
      <c r="I818" s="468"/>
      <c r="J818" s="76"/>
      <c r="K818" s="843"/>
      <c r="L818" s="1157"/>
      <c r="M818" s="1158"/>
      <c r="N818" s="1158"/>
      <c r="O818" s="1158"/>
    </row>
    <row r="819" spans="1:15" x14ac:dyDescent="0.2">
      <c r="A819" s="75"/>
      <c r="B819" s="52">
        <f t="shared" si="14"/>
        <v>1</v>
      </c>
      <c r="C819" s="45"/>
      <c r="D819" s="1156"/>
      <c r="E819" s="1156"/>
      <c r="F819" s="1156"/>
      <c r="G819" s="1156"/>
      <c r="H819" s="1156"/>
      <c r="I819" s="468"/>
      <c r="J819" s="76"/>
      <c r="K819" s="843"/>
      <c r="L819" s="1157"/>
      <c r="M819" s="1158"/>
      <c r="N819" s="1158"/>
      <c r="O819" s="1158"/>
    </row>
    <row r="820" spans="1:15" x14ac:dyDescent="0.2">
      <c r="A820" s="75"/>
      <c r="B820" s="52">
        <f t="shared" si="14"/>
        <v>1</v>
      </c>
      <c r="C820" s="45"/>
      <c r="D820" s="1156"/>
      <c r="E820" s="1156"/>
      <c r="F820" s="1156"/>
      <c r="G820" s="1156"/>
      <c r="H820" s="1156"/>
      <c r="I820" s="468"/>
      <c r="J820" s="76"/>
      <c r="K820" s="843"/>
      <c r="L820" s="1157"/>
      <c r="M820" s="1158"/>
      <c r="N820" s="1158"/>
      <c r="O820" s="1158"/>
    </row>
    <row r="821" spans="1:15" x14ac:dyDescent="0.2">
      <c r="A821" s="75"/>
      <c r="B821" s="52">
        <f t="shared" si="14"/>
        <v>1</v>
      </c>
      <c r="C821" s="45"/>
      <c r="D821" s="1156"/>
      <c r="E821" s="1156"/>
      <c r="F821" s="1156"/>
      <c r="G821" s="1156"/>
      <c r="H821" s="1156"/>
      <c r="I821" s="468"/>
      <c r="J821" s="76"/>
      <c r="K821" s="843"/>
      <c r="L821" s="1157"/>
      <c r="M821" s="1158"/>
      <c r="N821" s="1158"/>
      <c r="O821" s="1158"/>
    </row>
    <row r="822" spans="1:15" x14ac:dyDescent="0.2">
      <c r="A822" s="75"/>
      <c r="B822" s="52">
        <f t="shared" si="14"/>
        <v>1</v>
      </c>
      <c r="C822" s="45"/>
      <c r="D822" s="1156"/>
      <c r="E822" s="1156"/>
      <c r="F822" s="1156"/>
      <c r="G822" s="1156"/>
      <c r="H822" s="1156"/>
      <c r="I822" s="468"/>
      <c r="J822" s="76"/>
      <c r="K822" s="843"/>
      <c r="L822" s="1157"/>
      <c r="M822" s="1158"/>
      <c r="N822" s="1158"/>
      <c r="O822" s="1158"/>
    </row>
    <row r="823" spans="1:15" x14ac:dyDescent="0.2">
      <c r="A823" s="75"/>
      <c r="B823" s="52">
        <f t="shared" si="14"/>
        <v>1</v>
      </c>
      <c r="C823" s="45"/>
      <c r="D823" s="1156"/>
      <c r="E823" s="1156"/>
      <c r="F823" s="1156"/>
      <c r="G823" s="1156"/>
      <c r="H823" s="1156"/>
      <c r="I823" s="468"/>
      <c r="J823" s="76"/>
      <c r="K823" s="843"/>
      <c r="L823" s="1157"/>
      <c r="M823" s="1158"/>
      <c r="N823" s="1158"/>
      <c r="O823" s="1158"/>
    </row>
    <row r="824" spans="1:15" x14ac:dyDescent="0.2">
      <c r="A824" s="75"/>
      <c r="B824" s="52">
        <f t="shared" si="14"/>
        <v>1</v>
      </c>
      <c r="C824" s="45"/>
      <c r="D824" s="1156"/>
      <c r="E824" s="1156"/>
      <c r="F824" s="1156"/>
      <c r="G824" s="1156"/>
      <c r="H824" s="1156"/>
      <c r="I824" s="468"/>
      <c r="J824" s="76"/>
      <c r="K824" s="843"/>
      <c r="L824" s="1157"/>
      <c r="M824" s="1158"/>
      <c r="N824" s="1158"/>
      <c r="O824" s="1158"/>
    </row>
    <row r="825" spans="1:15" x14ac:dyDescent="0.2">
      <c r="A825" s="75"/>
      <c r="B825" s="52">
        <f t="shared" si="14"/>
        <v>1</v>
      </c>
      <c r="C825" s="45"/>
      <c r="D825" s="1156"/>
      <c r="E825" s="1156"/>
      <c r="F825" s="1156"/>
      <c r="G825" s="1156"/>
      <c r="H825" s="1156"/>
      <c r="I825" s="468"/>
      <c r="J825" s="76"/>
      <c r="K825" s="843"/>
      <c r="L825" s="1157"/>
      <c r="M825" s="1158"/>
      <c r="N825" s="1158"/>
      <c r="O825" s="1158"/>
    </row>
    <row r="826" spans="1:15" x14ac:dyDescent="0.2">
      <c r="A826" s="75"/>
      <c r="B826" s="52">
        <f t="shared" si="14"/>
        <v>1</v>
      </c>
      <c r="C826" s="45"/>
      <c r="D826" s="1156"/>
      <c r="E826" s="1156"/>
      <c r="F826" s="1156"/>
      <c r="G826" s="1156"/>
      <c r="H826" s="1156"/>
      <c r="I826" s="468"/>
      <c r="J826" s="76"/>
      <c r="K826" s="843"/>
      <c r="L826" s="1157"/>
      <c r="M826" s="1158"/>
      <c r="N826" s="1158"/>
      <c r="O826" s="1158"/>
    </row>
    <row r="827" spans="1:15" x14ac:dyDescent="0.2">
      <c r="A827" s="75"/>
      <c r="B827" s="52">
        <f t="shared" si="14"/>
        <v>1</v>
      </c>
      <c r="C827" s="45"/>
      <c r="D827" s="1156"/>
      <c r="E827" s="1156"/>
      <c r="F827" s="1156"/>
      <c r="G827" s="1156"/>
      <c r="H827" s="1156"/>
      <c r="I827" s="468"/>
      <c r="J827" s="76"/>
      <c r="K827" s="843"/>
      <c r="L827" s="1157"/>
      <c r="M827" s="1158"/>
      <c r="N827" s="1158"/>
      <c r="O827" s="1158"/>
    </row>
    <row r="828" spans="1:15" x14ac:dyDescent="0.2">
      <c r="A828" s="75"/>
      <c r="B828" s="52">
        <f t="shared" si="14"/>
        <v>1</v>
      </c>
      <c r="C828" s="45"/>
      <c r="D828" s="1156"/>
      <c r="E828" s="1156"/>
      <c r="F828" s="1156"/>
      <c r="G828" s="1156"/>
      <c r="H828" s="1156"/>
      <c r="I828" s="468"/>
      <c r="J828" s="76"/>
      <c r="K828" s="843"/>
      <c r="L828" s="1157"/>
      <c r="M828" s="1158"/>
      <c r="N828" s="1158"/>
      <c r="O828" s="1158"/>
    </row>
    <row r="829" spans="1:15" x14ac:dyDescent="0.2">
      <c r="A829" s="75"/>
      <c r="B829" s="52">
        <f t="shared" si="14"/>
        <v>1</v>
      </c>
      <c r="C829" s="45"/>
      <c r="D829" s="1156"/>
      <c r="E829" s="1156"/>
      <c r="F829" s="1156"/>
      <c r="G829" s="1156"/>
      <c r="H829" s="1156"/>
      <c r="I829" s="468"/>
      <c r="J829" s="76"/>
      <c r="K829" s="843"/>
      <c r="L829" s="1157"/>
      <c r="M829" s="1158"/>
      <c r="N829" s="1158"/>
      <c r="O829" s="1158"/>
    </row>
    <row r="830" spans="1:15" x14ac:dyDescent="0.2">
      <c r="A830" s="75"/>
      <c r="B830" s="52">
        <f t="shared" si="14"/>
        <v>1</v>
      </c>
      <c r="C830" s="45"/>
      <c r="D830" s="1156"/>
      <c r="E830" s="1156"/>
      <c r="F830" s="1156"/>
      <c r="G830" s="1156"/>
      <c r="H830" s="1156"/>
      <c r="I830" s="468"/>
      <c r="J830" s="76"/>
      <c r="K830" s="843"/>
      <c r="L830" s="1157"/>
      <c r="M830" s="1158"/>
      <c r="N830" s="1158"/>
      <c r="O830" s="1158"/>
    </row>
    <row r="831" spans="1:15" x14ac:dyDescent="0.2">
      <c r="A831" s="75"/>
      <c r="B831" s="52">
        <f t="shared" si="14"/>
        <v>1</v>
      </c>
      <c r="C831" s="45"/>
      <c r="D831" s="1156"/>
      <c r="E831" s="1156"/>
      <c r="F831" s="1156"/>
      <c r="G831" s="1156"/>
      <c r="H831" s="1156"/>
      <c r="I831" s="468"/>
      <c r="J831" s="76"/>
      <c r="K831" s="843"/>
      <c r="L831" s="1157"/>
      <c r="M831" s="1158"/>
      <c r="N831" s="1158"/>
      <c r="O831" s="1158"/>
    </row>
    <row r="832" spans="1:15" x14ac:dyDescent="0.2">
      <c r="A832" s="75"/>
      <c r="B832" s="52">
        <f t="shared" si="14"/>
        <v>1</v>
      </c>
      <c r="C832" s="45"/>
      <c r="D832" s="1156"/>
      <c r="E832" s="1156"/>
      <c r="F832" s="1156"/>
      <c r="G832" s="1156"/>
      <c r="H832" s="1156"/>
      <c r="I832" s="468"/>
      <c r="J832" s="76"/>
      <c r="K832" s="843"/>
      <c r="L832" s="1157"/>
      <c r="M832" s="1158"/>
      <c r="N832" s="1158"/>
      <c r="O832" s="1158"/>
    </row>
    <row r="833" spans="1:15" x14ac:dyDescent="0.2">
      <c r="A833" s="75"/>
      <c r="B833" s="52">
        <f t="shared" si="14"/>
        <v>1</v>
      </c>
      <c r="C833" s="45"/>
      <c r="D833" s="1156"/>
      <c r="E833" s="1156"/>
      <c r="F833" s="1156"/>
      <c r="G833" s="1156"/>
      <c r="H833" s="1156"/>
      <c r="I833" s="468"/>
      <c r="J833" s="76"/>
      <c r="K833" s="843"/>
      <c r="L833" s="1157"/>
      <c r="M833" s="1158"/>
      <c r="N833" s="1158"/>
      <c r="O833" s="1158"/>
    </row>
    <row r="834" spans="1:15" x14ac:dyDescent="0.2">
      <c r="A834" s="75"/>
      <c r="B834" s="52">
        <f t="shared" si="14"/>
        <v>1</v>
      </c>
      <c r="C834" s="45"/>
      <c r="D834" s="1156"/>
      <c r="E834" s="1156"/>
      <c r="F834" s="1156"/>
      <c r="G834" s="1156"/>
      <c r="H834" s="1156"/>
      <c r="I834" s="468"/>
      <c r="J834" s="76"/>
      <c r="K834" s="843"/>
      <c r="L834" s="1157"/>
      <c r="M834" s="1158"/>
      <c r="N834" s="1158"/>
      <c r="O834" s="1158"/>
    </row>
    <row r="835" spans="1:15" x14ac:dyDescent="0.2">
      <c r="A835" s="75"/>
      <c r="B835" s="52">
        <f t="shared" si="14"/>
        <v>1</v>
      </c>
      <c r="C835" s="45"/>
      <c r="D835" s="1156"/>
      <c r="E835" s="1156"/>
      <c r="F835" s="1156"/>
      <c r="G835" s="1156"/>
      <c r="H835" s="1156"/>
      <c r="I835" s="468"/>
      <c r="J835" s="76"/>
      <c r="K835" s="843"/>
      <c r="L835" s="1157"/>
      <c r="M835" s="1158"/>
      <c r="N835" s="1158"/>
      <c r="O835" s="1158"/>
    </row>
    <row r="836" spans="1:15" x14ac:dyDescent="0.2">
      <c r="A836" s="75"/>
      <c r="B836" s="52">
        <f t="shared" si="14"/>
        <v>1</v>
      </c>
      <c r="C836" s="45"/>
      <c r="D836" s="1156"/>
      <c r="E836" s="1156"/>
      <c r="F836" s="1156"/>
      <c r="G836" s="1156"/>
      <c r="H836" s="1156"/>
      <c r="I836" s="468"/>
      <c r="J836" s="76"/>
      <c r="K836" s="843"/>
      <c r="L836" s="1157"/>
      <c r="M836" s="1158"/>
      <c r="N836" s="1158"/>
      <c r="O836" s="1158"/>
    </row>
    <row r="837" spans="1:15" x14ac:dyDescent="0.2">
      <c r="A837" s="75"/>
      <c r="B837" s="52">
        <f t="shared" si="14"/>
        <v>1</v>
      </c>
      <c r="C837" s="45"/>
      <c r="D837" s="1156"/>
      <c r="E837" s="1156"/>
      <c r="F837" s="1156"/>
      <c r="G837" s="1156"/>
      <c r="H837" s="1156"/>
      <c r="I837" s="468"/>
      <c r="J837" s="76"/>
      <c r="K837" s="843"/>
      <c r="L837" s="1157"/>
      <c r="M837" s="1158"/>
      <c r="N837" s="1158"/>
      <c r="O837" s="1158"/>
    </row>
    <row r="838" spans="1:15" x14ac:dyDescent="0.2">
      <c r="A838" s="75"/>
      <c r="B838" s="52">
        <f t="shared" si="14"/>
        <v>1</v>
      </c>
      <c r="C838" s="45"/>
      <c r="D838" s="1156"/>
      <c r="E838" s="1156"/>
      <c r="F838" s="1156"/>
      <c r="G838" s="1156"/>
      <c r="H838" s="1156"/>
      <c r="I838" s="468"/>
      <c r="J838" s="76"/>
      <c r="K838" s="843"/>
      <c r="L838" s="1157"/>
      <c r="M838" s="1158"/>
      <c r="N838" s="1158"/>
      <c r="O838" s="1158"/>
    </row>
    <row r="839" spans="1:15" x14ac:dyDescent="0.2">
      <c r="A839" s="75"/>
      <c r="B839" s="52">
        <f t="shared" si="14"/>
        <v>1</v>
      </c>
      <c r="C839" s="45"/>
      <c r="D839" s="1156"/>
      <c r="E839" s="1156"/>
      <c r="F839" s="1156"/>
      <c r="G839" s="1156"/>
      <c r="H839" s="1156"/>
      <c r="I839" s="468"/>
      <c r="J839" s="76"/>
      <c r="K839" s="843"/>
      <c r="L839" s="1157"/>
      <c r="M839" s="1158"/>
      <c r="N839" s="1158"/>
      <c r="O839" s="1158"/>
    </row>
    <row r="840" spans="1:15" x14ac:dyDescent="0.2">
      <c r="A840" s="75"/>
      <c r="B840" s="52">
        <f t="shared" si="14"/>
        <v>1</v>
      </c>
      <c r="C840" s="45"/>
      <c r="D840" s="1156"/>
      <c r="E840" s="1156"/>
      <c r="F840" s="1156"/>
      <c r="G840" s="1156"/>
      <c r="H840" s="1156"/>
      <c r="I840" s="468"/>
      <c r="J840" s="76"/>
      <c r="K840" s="843"/>
      <c r="L840" s="1157"/>
      <c r="M840" s="1158"/>
      <c r="N840" s="1158"/>
      <c r="O840" s="1158"/>
    </row>
    <row r="841" spans="1:15" x14ac:dyDescent="0.2">
      <c r="A841" s="75"/>
      <c r="B841" s="52">
        <f t="shared" si="14"/>
        <v>1</v>
      </c>
      <c r="C841" s="45"/>
      <c r="D841" s="1156"/>
      <c r="E841" s="1156"/>
      <c r="F841" s="1156"/>
      <c r="G841" s="1156"/>
      <c r="H841" s="1156"/>
      <c r="I841" s="468"/>
      <c r="J841" s="76"/>
      <c r="K841" s="843"/>
      <c r="L841" s="1157"/>
      <c r="M841" s="1158"/>
      <c r="N841" s="1158"/>
      <c r="O841" s="1158"/>
    </row>
    <row r="842" spans="1:15" x14ac:dyDescent="0.2">
      <c r="A842" s="75"/>
      <c r="B842" s="52">
        <f t="shared" si="14"/>
        <v>1</v>
      </c>
      <c r="C842" s="45"/>
      <c r="D842" s="1156"/>
      <c r="E842" s="1156"/>
      <c r="F842" s="1156"/>
      <c r="G842" s="1156"/>
      <c r="H842" s="1156"/>
      <c r="I842" s="468"/>
      <c r="J842" s="76"/>
      <c r="K842" s="843"/>
      <c r="L842" s="1157"/>
      <c r="M842" s="1158"/>
      <c r="N842" s="1158"/>
      <c r="O842" s="1158"/>
    </row>
    <row r="843" spans="1:15" x14ac:dyDescent="0.2">
      <c r="A843" s="75"/>
      <c r="B843" s="52">
        <f t="shared" si="14"/>
        <v>1</v>
      </c>
      <c r="C843" s="45"/>
      <c r="D843" s="1156"/>
      <c r="E843" s="1156"/>
      <c r="F843" s="1156"/>
      <c r="G843" s="1156"/>
      <c r="H843" s="1156"/>
      <c r="I843" s="468"/>
      <c r="J843" s="76"/>
      <c r="K843" s="843"/>
      <c r="L843" s="1157"/>
      <c r="M843" s="1158"/>
      <c r="N843" s="1158"/>
      <c r="O843" s="1158"/>
    </row>
    <row r="844" spans="1:15" x14ac:dyDescent="0.2">
      <c r="A844" s="75"/>
      <c r="B844" s="52">
        <f t="shared" si="14"/>
        <v>1</v>
      </c>
      <c r="C844" s="45"/>
      <c r="D844" s="1156"/>
      <c r="E844" s="1156"/>
      <c r="F844" s="1156"/>
      <c r="G844" s="1156"/>
      <c r="H844" s="1156"/>
      <c r="I844" s="468"/>
      <c r="J844" s="76"/>
      <c r="K844" s="843"/>
      <c r="L844" s="1157"/>
      <c r="M844" s="1158"/>
      <c r="N844" s="1158"/>
      <c r="O844" s="1158"/>
    </row>
    <row r="845" spans="1:15" x14ac:dyDescent="0.2">
      <c r="A845" s="75"/>
      <c r="B845" s="52">
        <f t="shared" si="14"/>
        <v>1</v>
      </c>
      <c r="C845" s="45"/>
      <c r="D845" s="1156"/>
      <c r="E845" s="1156"/>
      <c r="F845" s="1156"/>
      <c r="G845" s="1156"/>
      <c r="H845" s="1156"/>
      <c r="I845" s="468"/>
      <c r="J845" s="76"/>
      <c r="K845" s="843"/>
      <c r="L845" s="1157"/>
      <c r="M845" s="1158"/>
      <c r="N845" s="1158"/>
      <c r="O845" s="1158"/>
    </row>
    <row r="846" spans="1:15" x14ac:dyDescent="0.2">
      <c r="A846" s="75"/>
      <c r="B846" s="52">
        <f t="shared" ref="B846:B909" si="15">MONTH(A846)</f>
        <v>1</v>
      </c>
      <c r="C846" s="45"/>
      <c r="D846" s="1156"/>
      <c r="E846" s="1156"/>
      <c r="F846" s="1156"/>
      <c r="G846" s="1156"/>
      <c r="H846" s="1156"/>
      <c r="I846" s="468"/>
      <c r="J846" s="76"/>
      <c r="K846" s="843"/>
      <c r="L846" s="1157"/>
      <c r="M846" s="1158"/>
      <c r="N846" s="1158"/>
      <c r="O846" s="1158"/>
    </row>
    <row r="847" spans="1:15" x14ac:dyDescent="0.2">
      <c r="A847" s="75"/>
      <c r="B847" s="52">
        <f t="shared" si="15"/>
        <v>1</v>
      </c>
      <c r="C847" s="45"/>
      <c r="D847" s="1156"/>
      <c r="E847" s="1156"/>
      <c r="F847" s="1156"/>
      <c r="G847" s="1156"/>
      <c r="H847" s="1156"/>
      <c r="I847" s="468"/>
      <c r="J847" s="76"/>
      <c r="K847" s="843"/>
      <c r="L847" s="1157"/>
      <c r="M847" s="1158"/>
      <c r="N847" s="1158"/>
      <c r="O847" s="1158"/>
    </row>
    <row r="848" spans="1:15" x14ac:dyDescent="0.2">
      <c r="A848" s="75"/>
      <c r="B848" s="52">
        <f t="shared" si="15"/>
        <v>1</v>
      </c>
      <c r="C848" s="45"/>
      <c r="D848" s="1156"/>
      <c r="E848" s="1156"/>
      <c r="F848" s="1156"/>
      <c r="G848" s="1156"/>
      <c r="H848" s="1156"/>
      <c r="I848" s="468"/>
      <c r="J848" s="76"/>
      <c r="K848" s="843"/>
      <c r="L848" s="1157"/>
      <c r="M848" s="1158"/>
      <c r="N848" s="1158"/>
      <c r="O848" s="1158"/>
    </row>
    <row r="849" spans="1:15" x14ac:dyDescent="0.2">
      <c r="A849" s="75"/>
      <c r="B849" s="52">
        <f t="shared" si="15"/>
        <v>1</v>
      </c>
      <c r="C849" s="45"/>
      <c r="D849" s="1156"/>
      <c r="E849" s="1156"/>
      <c r="F849" s="1156"/>
      <c r="G849" s="1156"/>
      <c r="H849" s="1156"/>
      <c r="I849" s="468"/>
      <c r="J849" s="76"/>
      <c r="K849" s="843"/>
      <c r="L849" s="1157"/>
      <c r="M849" s="1158"/>
      <c r="N849" s="1158"/>
      <c r="O849" s="1158"/>
    </row>
    <row r="850" spans="1:15" x14ac:dyDescent="0.2">
      <c r="A850" s="75"/>
      <c r="B850" s="52">
        <f t="shared" si="15"/>
        <v>1</v>
      </c>
      <c r="C850" s="45"/>
      <c r="D850" s="1156"/>
      <c r="E850" s="1156"/>
      <c r="F850" s="1156"/>
      <c r="G850" s="1156"/>
      <c r="H850" s="1156"/>
      <c r="I850" s="468"/>
      <c r="J850" s="76"/>
      <c r="K850" s="843"/>
      <c r="L850" s="1157"/>
      <c r="M850" s="1158"/>
      <c r="N850" s="1158"/>
      <c r="O850" s="1158"/>
    </row>
    <row r="851" spans="1:15" x14ac:dyDescent="0.2">
      <c r="A851" s="75"/>
      <c r="B851" s="52">
        <f t="shared" si="15"/>
        <v>1</v>
      </c>
      <c r="C851" s="45"/>
      <c r="D851" s="1156"/>
      <c r="E851" s="1156"/>
      <c r="F851" s="1156"/>
      <c r="G851" s="1156"/>
      <c r="H851" s="1156"/>
      <c r="I851" s="468"/>
      <c r="J851" s="76"/>
      <c r="K851" s="843"/>
      <c r="L851" s="1157"/>
      <c r="M851" s="1158"/>
      <c r="N851" s="1158"/>
      <c r="O851" s="1158"/>
    </row>
    <row r="852" spans="1:15" x14ac:dyDescent="0.2">
      <c r="A852" s="75"/>
      <c r="B852" s="52">
        <f t="shared" si="15"/>
        <v>1</v>
      </c>
      <c r="C852" s="45"/>
      <c r="D852" s="1156"/>
      <c r="E852" s="1156"/>
      <c r="F852" s="1156"/>
      <c r="G852" s="1156"/>
      <c r="H852" s="1156"/>
      <c r="I852" s="468"/>
      <c r="J852" s="76"/>
      <c r="K852" s="843"/>
      <c r="L852" s="1157"/>
      <c r="M852" s="1158"/>
      <c r="N852" s="1158"/>
      <c r="O852" s="1158"/>
    </row>
    <row r="853" spans="1:15" x14ac:dyDescent="0.2">
      <c r="A853" s="75"/>
      <c r="B853" s="52">
        <f t="shared" si="15"/>
        <v>1</v>
      </c>
      <c r="C853" s="45"/>
      <c r="D853" s="1156"/>
      <c r="E853" s="1156"/>
      <c r="F853" s="1156"/>
      <c r="G853" s="1156"/>
      <c r="H853" s="1156"/>
      <c r="I853" s="468"/>
      <c r="J853" s="76"/>
      <c r="K853" s="843"/>
      <c r="L853" s="1157"/>
      <c r="M853" s="1158"/>
      <c r="N853" s="1158"/>
      <c r="O853" s="1158"/>
    </row>
    <row r="854" spans="1:15" x14ac:dyDescent="0.2">
      <c r="A854" s="75"/>
      <c r="B854" s="52">
        <f t="shared" si="15"/>
        <v>1</v>
      </c>
      <c r="C854" s="45"/>
      <c r="D854" s="1156"/>
      <c r="E854" s="1156"/>
      <c r="F854" s="1156"/>
      <c r="G854" s="1156"/>
      <c r="H854" s="1156"/>
      <c r="I854" s="468"/>
      <c r="J854" s="76"/>
      <c r="K854" s="843"/>
      <c r="L854" s="1157"/>
      <c r="M854" s="1158"/>
      <c r="N854" s="1158"/>
      <c r="O854" s="1158"/>
    </row>
    <row r="855" spans="1:15" x14ac:dyDescent="0.2">
      <c r="A855" s="75"/>
      <c r="B855" s="52">
        <f t="shared" si="15"/>
        <v>1</v>
      </c>
      <c r="C855" s="45"/>
      <c r="D855" s="1156"/>
      <c r="E855" s="1156"/>
      <c r="F855" s="1156"/>
      <c r="G855" s="1156"/>
      <c r="H855" s="1156"/>
      <c r="I855" s="468"/>
      <c r="J855" s="76"/>
      <c r="K855" s="843"/>
      <c r="L855" s="1157"/>
      <c r="M855" s="1158"/>
      <c r="N855" s="1158"/>
      <c r="O855" s="1158"/>
    </row>
    <row r="856" spans="1:15" x14ac:dyDescent="0.2">
      <c r="A856" s="75"/>
      <c r="B856" s="52">
        <f t="shared" si="15"/>
        <v>1</v>
      </c>
      <c r="C856" s="45"/>
      <c r="D856" s="1156"/>
      <c r="E856" s="1156"/>
      <c r="F856" s="1156"/>
      <c r="G856" s="1156"/>
      <c r="H856" s="1156"/>
      <c r="I856" s="468"/>
      <c r="J856" s="76"/>
      <c r="K856" s="843"/>
      <c r="L856" s="1157"/>
      <c r="M856" s="1158"/>
      <c r="N856" s="1158"/>
      <c r="O856" s="1158"/>
    </row>
    <row r="857" spans="1:15" x14ac:dyDescent="0.2">
      <c r="A857" s="75"/>
      <c r="B857" s="52">
        <f t="shared" si="15"/>
        <v>1</v>
      </c>
      <c r="C857" s="45"/>
      <c r="D857" s="1156"/>
      <c r="E857" s="1156"/>
      <c r="F857" s="1156"/>
      <c r="G857" s="1156"/>
      <c r="H857" s="1156"/>
      <c r="I857" s="468"/>
      <c r="J857" s="76"/>
      <c r="K857" s="843"/>
      <c r="L857" s="1157"/>
      <c r="M857" s="1158"/>
      <c r="N857" s="1158"/>
      <c r="O857" s="1158"/>
    </row>
    <row r="858" spans="1:15" x14ac:dyDescent="0.2">
      <c r="A858" s="75"/>
      <c r="B858" s="52">
        <f t="shared" si="15"/>
        <v>1</v>
      </c>
      <c r="C858" s="45"/>
      <c r="D858" s="1156"/>
      <c r="E858" s="1156"/>
      <c r="F858" s="1156"/>
      <c r="G858" s="1156"/>
      <c r="H858" s="1156"/>
      <c r="I858" s="468"/>
      <c r="J858" s="76"/>
      <c r="K858" s="843"/>
      <c r="L858" s="1157"/>
      <c r="M858" s="1158"/>
      <c r="N858" s="1158"/>
      <c r="O858" s="1158"/>
    </row>
    <row r="859" spans="1:15" x14ac:dyDescent="0.2">
      <c r="A859" s="75"/>
      <c r="B859" s="52">
        <f t="shared" si="15"/>
        <v>1</v>
      </c>
      <c r="C859" s="45"/>
      <c r="D859" s="1156"/>
      <c r="E859" s="1156"/>
      <c r="F859" s="1156"/>
      <c r="G859" s="1156"/>
      <c r="H859" s="1156"/>
      <c r="I859" s="468"/>
      <c r="J859" s="76"/>
      <c r="K859" s="843"/>
      <c r="L859" s="1157"/>
      <c r="M859" s="1158"/>
      <c r="N859" s="1158"/>
      <c r="O859" s="1158"/>
    </row>
    <row r="860" spans="1:15" x14ac:dyDescent="0.2">
      <c r="A860" s="75"/>
      <c r="B860" s="52">
        <f t="shared" si="15"/>
        <v>1</v>
      </c>
      <c r="C860" s="45"/>
      <c r="D860" s="1156"/>
      <c r="E860" s="1156"/>
      <c r="F860" s="1156"/>
      <c r="G860" s="1156"/>
      <c r="H860" s="1156"/>
      <c r="I860" s="468"/>
      <c r="J860" s="76"/>
      <c r="K860" s="843"/>
      <c r="L860" s="1157"/>
      <c r="M860" s="1158"/>
      <c r="N860" s="1158"/>
      <c r="O860" s="1158"/>
    </row>
    <row r="861" spans="1:15" x14ac:dyDescent="0.2">
      <c r="A861" s="75"/>
      <c r="B861" s="52">
        <f t="shared" si="15"/>
        <v>1</v>
      </c>
      <c r="C861" s="45"/>
      <c r="D861" s="1156"/>
      <c r="E861" s="1156"/>
      <c r="F861" s="1156"/>
      <c r="G861" s="1156"/>
      <c r="H861" s="1156"/>
      <c r="I861" s="468"/>
      <c r="J861" s="76"/>
      <c r="K861" s="843"/>
      <c r="L861" s="1157"/>
      <c r="M861" s="1158"/>
      <c r="N861" s="1158"/>
      <c r="O861" s="1158"/>
    </row>
    <row r="862" spans="1:15" x14ac:dyDescent="0.2">
      <c r="A862" s="75"/>
      <c r="B862" s="52">
        <f t="shared" si="15"/>
        <v>1</v>
      </c>
      <c r="C862" s="45"/>
      <c r="D862" s="1156"/>
      <c r="E862" s="1156"/>
      <c r="F862" s="1156"/>
      <c r="G862" s="1156"/>
      <c r="H862" s="1156"/>
      <c r="I862" s="468"/>
      <c r="J862" s="76"/>
      <c r="K862" s="843"/>
      <c r="L862" s="1157"/>
      <c r="M862" s="1158"/>
      <c r="N862" s="1158"/>
      <c r="O862" s="1158"/>
    </row>
    <row r="863" spans="1:15" x14ac:dyDescent="0.2">
      <c r="A863" s="75"/>
      <c r="B863" s="52">
        <f t="shared" si="15"/>
        <v>1</v>
      </c>
      <c r="C863" s="45"/>
      <c r="D863" s="1156"/>
      <c r="E863" s="1156"/>
      <c r="F863" s="1156"/>
      <c r="G863" s="1156"/>
      <c r="H863" s="1156"/>
      <c r="I863" s="468"/>
      <c r="J863" s="76"/>
      <c r="K863" s="843"/>
      <c r="L863" s="1157"/>
      <c r="M863" s="1158"/>
      <c r="N863" s="1158"/>
      <c r="O863" s="1158"/>
    </row>
    <row r="864" spans="1:15" x14ac:dyDescent="0.2">
      <c r="A864" s="75"/>
      <c r="B864" s="52">
        <f t="shared" si="15"/>
        <v>1</v>
      </c>
      <c r="C864" s="45"/>
      <c r="D864" s="1156"/>
      <c r="E864" s="1156"/>
      <c r="F864" s="1156"/>
      <c r="G864" s="1156"/>
      <c r="H864" s="1156"/>
      <c r="I864" s="468"/>
      <c r="J864" s="76"/>
      <c r="K864" s="843"/>
      <c r="L864" s="1157"/>
      <c r="M864" s="1158"/>
      <c r="N864" s="1158"/>
      <c r="O864" s="1158"/>
    </row>
    <row r="865" spans="1:15" x14ac:dyDescent="0.2">
      <c r="A865" s="75"/>
      <c r="B865" s="52">
        <f t="shared" si="15"/>
        <v>1</v>
      </c>
      <c r="C865" s="45"/>
      <c r="D865" s="1156"/>
      <c r="E865" s="1156"/>
      <c r="F865" s="1156"/>
      <c r="G865" s="1156"/>
      <c r="H865" s="1156"/>
      <c r="I865" s="468"/>
      <c r="J865" s="76"/>
      <c r="K865" s="843"/>
      <c r="L865" s="1157"/>
      <c r="M865" s="1158"/>
      <c r="N865" s="1158"/>
      <c r="O865" s="1158"/>
    </row>
    <row r="866" spans="1:15" x14ac:dyDescent="0.2">
      <c r="A866" s="75"/>
      <c r="B866" s="52">
        <f t="shared" si="15"/>
        <v>1</v>
      </c>
      <c r="C866" s="45"/>
      <c r="D866" s="1156"/>
      <c r="E866" s="1156"/>
      <c r="F866" s="1156"/>
      <c r="G866" s="1156"/>
      <c r="H866" s="1156"/>
      <c r="I866" s="468"/>
      <c r="J866" s="76"/>
      <c r="K866" s="843"/>
      <c r="L866" s="1157"/>
      <c r="M866" s="1158"/>
      <c r="N866" s="1158"/>
      <c r="O866" s="1158"/>
    </row>
    <row r="867" spans="1:15" x14ac:dyDescent="0.2">
      <c r="A867" s="75"/>
      <c r="B867" s="52">
        <f t="shared" si="15"/>
        <v>1</v>
      </c>
      <c r="C867" s="45"/>
      <c r="D867" s="1156"/>
      <c r="E867" s="1156"/>
      <c r="F867" s="1156"/>
      <c r="G867" s="1156"/>
      <c r="H867" s="1156"/>
      <c r="I867" s="468"/>
      <c r="J867" s="76"/>
      <c r="K867" s="843"/>
      <c r="L867" s="1157"/>
      <c r="M867" s="1158"/>
      <c r="N867" s="1158"/>
      <c r="O867" s="1158"/>
    </row>
    <row r="868" spans="1:15" x14ac:dyDescent="0.2">
      <c r="A868" s="75"/>
      <c r="B868" s="52">
        <f t="shared" si="15"/>
        <v>1</v>
      </c>
      <c r="C868" s="45"/>
      <c r="D868" s="1156"/>
      <c r="E868" s="1156"/>
      <c r="F868" s="1156"/>
      <c r="G868" s="1156"/>
      <c r="H868" s="1156"/>
      <c r="I868" s="468"/>
      <c r="J868" s="76"/>
      <c r="K868" s="843"/>
      <c r="L868" s="1157"/>
      <c r="M868" s="1158"/>
      <c r="N868" s="1158"/>
      <c r="O868" s="1158"/>
    </row>
    <row r="869" spans="1:15" x14ac:dyDescent="0.2">
      <c r="A869" s="75"/>
      <c r="B869" s="52">
        <f t="shared" si="15"/>
        <v>1</v>
      </c>
      <c r="C869" s="45"/>
      <c r="D869" s="1156"/>
      <c r="E869" s="1156"/>
      <c r="F869" s="1156"/>
      <c r="G869" s="1156"/>
      <c r="H869" s="1156"/>
      <c r="I869" s="468"/>
      <c r="J869" s="76"/>
      <c r="K869" s="843"/>
      <c r="L869" s="1157"/>
      <c r="M869" s="1158"/>
      <c r="N869" s="1158"/>
      <c r="O869" s="1158"/>
    </row>
    <row r="870" spans="1:15" x14ac:dyDescent="0.2">
      <c r="A870" s="75"/>
      <c r="B870" s="52">
        <f t="shared" si="15"/>
        <v>1</v>
      </c>
      <c r="C870" s="45"/>
      <c r="D870" s="1156"/>
      <c r="E870" s="1156"/>
      <c r="F870" s="1156"/>
      <c r="G870" s="1156"/>
      <c r="H870" s="1156"/>
      <c r="I870" s="468"/>
      <c r="J870" s="76"/>
      <c r="K870" s="843"/>
      <c r="L870" s="1157"/>
      <c r="M870" s="1158"/>
      <c r="N870" s="1158"/>
      <c r="O870" s="1158"/>
    </row>
    <row r="871" spans="1:15" x14ac:dyDescent="0.2">
      <c r="A871" s="75"/>
      <c r="B871" s="52">
        <f t="shared" si="15"/>
        <v>1</v>
      </c>
      <c r="C871" s="45"/>
      <c r="D871" s="1156"/>
      <c r="E871" s="1156"/>
      <c r="F871" s="1156"/>
      <c r="G871" s="1156"/>
      <c r="H871" s="1156"/>
      <c r="I871" s="468"/>
      <c r="J871" s="76"/>
      <c r="K871" s="843"/>
      <c r="L871" s="1157"/>
      <c r="M871" s="1158"/>
      <c r="N871" s="1158"/>
      <c r="O871" s="1158"/>
    </row>
    <row r="872" spans="1:15" x14ac:dyDescent="0.2">
      <c r="A872" s="75"/>
      <c r="B872" s="52">
        <f t="shared" si="15"/>
        <v>1</v>
      </c>
      <c r="C872" s="45"/>
      <c r="D872" s="1156"/>
      <c r="E872" s="1156"/>
      <c r="F872" s="1156"/>
      <c r="G872" s="1156"/>
      <c r="H872" s="1156"/>
      <c r="I872" s="468"/>
      <c r="J872" s="76"/>
      <c r="K872" s="843"/>
      <c r="L872" s="1157"/>
      <c r="M872" s="1158"/>
      <c r="N872" s="1158"/>
      <c r="O872" s="1158"/>
    </row>
    <row r="873" spans="1:15" x14ac:dyDescent="0.2">
      <c r="A873" s="75"/>
      <c r="B873" s="52">
        <f t="shared" si="15"/>
        <v>1</v>
      </c>
      <c r="C873" s="45"/>
      <c r="D873" s="1156"/>
      <c r="E873" s="1156"/>
      <c r="F873" s="1156"/>
      <c r="G873" s="1156"/>
      <c r="H873" s="1156"/>
      <c r="I873" s="468"/>
      <c r="J873" s="76"/>
      <c r="K873" s="843"/>
      <c r="L873" s="1157"/>
      <c r="M873" s="1158"/>
      <c r="N873" s="1158"/>
      <c r="O873" s="1158"/>
    </row>
    <row r="874" spans="1:15" x14ac:dyDescent="0.2">
      <c r="A874" s="75"/>
      <c r="B874" s="52">
        <f t="shared" si="15"/>
        <v>1</v>
      </c>
      <c r="C874" s="45"/>
      <c r="D874" s="1156"/>
      <c r="E874" s="1156"/>
      <c r="F874" s="1156"/>
      <c r="G874" s="1156"/>
      <c r="H874" s="1156"/>
      <c r="I874" s="468"/>
      <c r="J874" s="76"/>
      <c r="K874" s="843"/>
      <c r="L874" s="1157"/>
      <c r="M874" s="1158"/>
      <c r="N874" s="1158"/>
      <c r="O874" s="1158"/>
    </row>
    <row r="875" spans="1:15" x14ac:dyDescent="0.2">
      <c r="A875" s="75"/>
      <c r="B875" s="52">
        <f t="shared" si="15"/>
        <v>1</v>
      </c>
      <c r="C875" s="45"/>
      <c r="D875" s="1156"/>
      <c r="E875" s="1156"/>
      <c r="F875" s="1156"/>
      <c r="G875" s="1156"/>
      <c r="H875" s="1156"/>
      <c r="I875" s="468"/>
      <c r="J875" s="76"/>
      <c r="K875" s="843"/>
      <c r="L875" s="1157"/>
      <c r="M875" s="1158"/>
      <c r="N875" s="1158"/>
      <c r="O875" s="1158"/>
    </row>
    <row r="876" spans="1:15" x14ac:dyDescent="0.2">
      <c r="A876" s="75"/>
      <c r="B876" s="52">
        <f t="shared" si="15"/>
        <v>1</v>
      </c>
      <c r="C876" s="45"/>
      <c r="D876" s="1156"/>
      <c r="E876" s="1156"/>
      <c r="F876" s="1156"/>
      <c r="G876" s="1156"/>
      <c r="H876" s="1156"/>
      <c r="I876" s="468"/>
      <c r="J876" s="76"/>
      <c r="K876" s="843"/>
      <c r="L876" s="1157"/>
      <c r="M876" s="1158"/>
      <c r="N876" s="1158"/>
      <c r="O876" s="1158"/>
    </row>
    <row r="877" spans="1:15" x14ac:dyDescent="0.2">
      <c r="A877" s="75"/>
      <c r="B877" s="52">
        <f t="shared" si="15"/>
        <v>1</v>
      </c>
      <c r="C877" s="45"/>
      <c r="D877" s="1156"/>
      <c r="E877" s="1156"/>
      <c r="F877" s="1156"/>
      <c r="G877" s="1156"/>
      <c r="H877" s="1156"/>
      <c r="I877" s="468"/>
      <c r="J877" s="76"/>
      <c r="K877" s="843"/>
      <c r="L877" s="1157"/>
      <c r="M877" s="1158"/>
      <c r="N877" s="1158"/>
      <c r="O877" s="1158"/>
    </row>
    <row r="878" spans="1:15" x14ac:dyDescent="0.2">
      <c r="A878" s="75"/>
      <c r="B878" s="52">
        <f t="shared" si="15"/>
        <v>1</v>
      </c>
      <c r="C878" s="45"/>
      <c r="D878" s="1156"/>
      <c r="E878" s="1156"/>
      <c r="F878" s="1156"/>
      <c r="G878" s="1156"/>
      <c r="H878" s="1156"/>
      <c r="I878" s="468"/>
      <c r="J878" s="76"/>
      <c r="K878" s="843"/>
      <c r="L878" s="1157"/>
      <c r="M878" s="1158"/>
      <c r="N878" s="1158"/>
      <c r="O878" s="1158"/>
    </row>
    <row r="879" spans="1:15" x14ac:dyDescent="0.2">
      <c r="A879" s="75"/>
      <c r="B879" s="52">
        <f t="shared" si="15"/>
        <v>1</v>
      </c>
      <c r="C879" s="45"/>
      <c r="D879" s="1156"/>
      <c r="E879" s="1156"/>
      <c r="F879" s="1156"/>
      <c r="G879" s="1156"/>
      <c r="H879" s="1156"/>
      <c r="I879" s="468"/>
      <c r="J879" s="76"/>
      <c r="K879" s="843"/>
      <c r="L879" s="1157"/>
      <c r="M879" s="1158"/>
      <c r="N879" s="1158"/>
      <c r="O879" s="1158"/>
    </row>
    <row r="880" spans="1:15" x14ac:dyDescent="0.2">
      <c r="A880" s="75"/>
      <c r="B880" s="52">
        <f t="shared" si="15"/>
        <v>1</v>
      </c>
      <c r="C880" s="45"/>
      <c r="D880" s="1156"/>
      <c r="E880" s="1156"/>
      <c r="F880" s="1156"/>
      <c r="G880" s="1156"/>
      <c r="H880" s="1156"/>
      <c r="I880" s="468"/>
      <c r="J880" s="76"/>
      <c r="K880" s="843"/>
      <c r="L880" s="1157"/>
      <c r="M880" s="1158"/>
      <c r="N880" s="1158"/>
      <c r="O880" s="1158"/>
    </row>
    <row r="881" spans="1:15" x14ac:dyDescent="0.2">
      <c r="A881" s="75"/>
      <c r="B881" s="52">
        <f t="shared" si="15"/>
        <v>1</v>
      </c>
      <c r="C881" s="45"/>
      <c r="D881" s="1156"/>
      <c r="E881" s="1156"/>
      <c r="F881" s="1156"/>
      <c r="G881" s="1156"/>
      <c r="H881" s="1156"/>
      <c r="I881" s="468"/>
      <c r="J881" s="76"/>
      <c r="K881" s="843"/>
      <c r="L881" s="1157"/>
      <c r="M881" s="1158"/>
      <c r="N881" s="1158"/>
      <c r="O881" s="1158"/>
    </row>
    <row r="882" spans="1:15" x14ac:dyDescent="0.2">
      <c r="A882" s="75"/>
      <c r="B882" s="52">
        <f t="shared" si="15"/>
        <v>1</v>
      </c>
      <c r="C882" s="45"/>
      <c r="D882" s="1156"/>
      <c r="E882" s="1156"/>
      <c r="F882" s="1156"/>
      <c r="G882" s="1156"/>
      <c r="H882" s="1156"/>
      <c r="I882" s="468"/>
      <c r="J882" s="76"/>
      <c r="K882" s="843"/>
      <c r="L882" s="1157"/>
      <c r="M882" s="1158"/>
      <c r="N882" s="1158"/>
      <c r="O882" s="1158"/>
    </row>
    <row r="883" spans="1:15" x14ac:dyDescent="0.2">
      <c r="A883" s="75"/>
      <c r="B883" s="52">
        <f t="shared" si="15"/>
        <v>1</v>
      </c>
      <c r="C883" s="45"/>
      <c r="D883" s="1156"/>
      <c r="E883" s="1156"/>
      <c r="F883" s="1156"/>
      <c r="G883" s="1156"/>
      <c r="H883" s="1156"/>
      <c r="I883" s="468"/>
      <c r="J883" s="76"/>
      <c r="K883" s="843"/>
      <c r="L883" s="1157"/>
      <c r="M883" s="1158"/>
      <c r="N883" s="1158"/>
      <c r="O883" s="1158"/>
    </row>
    <row r="884" spans="1:15" x14ac:dyDescent="0.2">
      <c r="A884" s="75"/>
      <c r="B884" s="52">
        <f t="shared" si="15"/>
        <v>1</v>
      </c>
      <c r="C884" s="45"/>
      <c r="D884" s="1156"/>
      <c r="E884" s="1156"/>
      <c r="F884" s="1156"/>
      <c r="G884" s="1156"/>
      <c r="H884" s="1156"/>
      <c r="I884" s="468"/>
      <c r="J884" s="76"/>
      <c r="K884" s="843"/>
      <c r="L884" s="1157"/>
      <c r="M884" s="1158"/>
      <c r="N884" s="1158"/>
      <c r="O884" s="1158"/>
    </row>
    <row r="885" spans="1:15" x14ac:dyDescent="0.2">
      <c r="A885" s="75"/>
      <c r="B885" s="52">
        <f t="shared" si="15"/>
        <v>1</v>
      </c>
      <c r="C885" s="45"/>
      <c r="D885" s="1156"/>
      <c r="E885" s="1156"/>
      <c r="F885" s="1156"/>
      <c r="G885" s="1156"/>
      <c r="H885" s="1156"/>
      <c r="I885" s="468"/>
      <c r="J885" s="76"/>
      <c r="K885" s="843"/>
      <c r="L885" s="1157"/>
      <c r="M885" s="1158"/>
      <c r="N885" s="1158"/>
      <c r="O885" s="1158"/>
    </row>
    <row r="886" spans="1:15" x14ac:dyDescent="0.2">
      <c r="A886" s="75"/>
      <c r="B886" s="52">
        <f t="shared" si="15"/>
        <v>1</v>
      </c>
      <c r="C886" s="45"/>
      <c r="D886" s="1156"/>
      <c r="E886" s="1156"/>
      <c r="F886" s="1156"/>
      <c r="G886" s="1156"/>
      <c r="H886" s="1156"/>
      <c r="I886" s="468"/>
      <c r="J886" s="76"/>
      <c r="K886" s="843"/>
      <c r="L886" s="1157"/>
      <c r="M886" s="1158"/>
      <c r="N886" s="1158"/>
      <c r="O886" s="1158"/>
    </row>
    <row r="887" spans="1:15" x14ac:dyDescent="0.2">
      <c r="A887" s="75"/>
      <c r="B887" s="52">
        <f t="shared" si="15"/>
        <v>1</v>
      </c>
      <c r="C887" s="45"/>
      <c r="D887" s="1156"/>
      <c r="E887" s="1156"/>
      <c r="F887" s="1156"/>
      <c r="G887" s="1156"/>
      <c r="H887" s="1156"/>
      <c r="I887" s="468"/>
      <c r="J887" s="76"/>
      <c r="K887" s="843"/>
      <c r="L887" s="1157"/>
      <c r="M887" s="1158"/>
      <c r="N887" s="1158"/>
      <c r="O887" s="1158"/>
    </row>
    <row r="888" spans="1:15" x14ac:dyDescent="0.2">
      <c r="A888" s="75"/>
      <c r="B888" s="52">
        <f t="shared" si="15"/>
        <v>1</v>
      </c>
      <c r="C888" s="45"/>
      <c r="D888" s="1156"/>
      <c r="E888" s="1156"/>
      <c r="F888" s="1156"/>
      <c r="G888" s="1156"/>
      <c r="H888" s="1156"/>
      <c r="I888" s="468"/>
      <c r="J888" s="76"/>
      <c r="K888" s="843"/>
      <c r="L888" s="1157"/>
      <c r="M888" s="1158"/>
      <c r="N888" s="1158"/>
      <c r="O888" s="1158"/>
    </row>
    <row r="889" spans="1:15" x14ac:dyDescent="0.2">
      <c r="A889" s="75"/>
      <c r="B889" s="52">
        <f t="shared" si="15"/>
        <v>1</v>
      </c>
      <c r="C889" s="45"/>
      <c r="D889" s="1156"/>
      <c r="E889" s="1156"/>
      <c r="F889" s="1156"/>
      <c r="G889" s="1156"/>
      <c r="H889" s="1156"/>
      <c r="I889" s="468"/>
      <c r="J889" s="76"/>
      <c r="K889" s="843"/>
      <c r="L889" s="1157"/>
      <c r="M889" s="1158"/>
      <c r="N889" s="1158"/>
      <c r="O889" s="1158"/>
    </row>
    <row r="890" spans="1:15" x14ac:dyDescent="0.2">
      <c r="A890" s="75"/>
      <c r="B890" s="52">
        <f t="shared" si="15"/>
        <v>1</v>
      </c>
      <c r="C890" s="45"/>
      <c r="D890" s="1156"/>
      <c r="E890" s="1156"/>
      <c r="F890" s="1156"/>
      <c r="G890" s="1156"/>
      <c r="H890" s="1156"/>
      <c r="I890" s="468"/>
      <c r="J890" s="76"/>
      <c r="K890" s="843"/>
      <c r="L890" s="1157"/>
      <c r="M890" s="1158"/>
      <c r="N890" s="1158"/>
      <c r="O890" s="1158"/>
    </row>
    <row r="891" spans="1:15" x14ac:dyDescent="0.2">
      <c r="A891" s="75"/>
      <c r="B891" s="52">
        <f t="shared" si="15"/>
        <v>1</v>
      </c>
      <c r="C891" s="45"/>
      <c r="D891" s="1156"/>
      <c r="E891" s="1156"/>
      <c r="F891" s="1156"/>
      <c r="G891" s="1156"/>
      <c r="H891" s="1156"/>
      <c r="I891" s="468"/>
      <c r="J891" s="76"/>
      <c r="K891" s="843"/>
      <c r="L891" s="1157"/>
      <c r="M891" s="1158"/>
      <c r="N891" s="1158"/>
      <c r="O891" s="1158"/>
    </row>
    <row r="892" spans="1:15" x14ac:dyDescent="0.2">
      <c r="A892" s="75"/>
      <c r="B892" s="52">
        <f t="shared" si="15"/>
        <v>1</v>
      </c>
      <c r="C892" s="45"/>
      <c r="D892" s="1156"/>
      <c r="E892" s="1156"/>
      <c r="F892" s="1156"/>
      <c r="G892" s="1156"/>
      <c r="H892" s="1156"/>
      <c r="I892" s="468"/>
      <c r="J892" s="76"/>
      <c r="K892" s="843"/>
      <c r="L892" s="1157"/>
      <c r="M892" s="1158"/>
      <c r="N892" s="1158"/>
      <c r="O892" s="1158"/>
    </row>
    <row r="893" spans="1:15" x14ac:dyDescent="0.2">
      <c r="A893" s="75"/>
      <c r="B893" s="52">
        <f t="shared" si="15"/>
        <v>1</v>
      </c>
      <c r="C893" s="45"/>
      <c r="D893" s="1156"/>
      <c r="E893" s="1156"/>
      <c r="F893" s="1156"/>
      <c r="G893" s="1156"/>
      <c r="H893" s="1156"/>
      <c r="I893" s="468"/>
      <c r="J893" s="76"/>
      <c r="K893" s="843"/>
      <c r="L893" s="1157"/>
      <c r="M893" s="1158"/>
      <c r="N893" s="1158"/>
      <c r="O893" s="1158"/>
    </row>
    <row r="894" spans="1:15" x14ac:dyDescent="0.2">
      <c r="A894" s="75"/>
      <c r="B894" s="52">
        <f t="shared" si="15"/>
        <v>1</v>
      </c>
      <c r="C894" s="45"/>
      <c r="D894" s="1156"/>
      <c r="E894" s="1156"/>
      <c r="F894" s="1156"/>
      <c r="G894" s="1156"/>
      <c r="H894" s="1156"/>
      <c r="I894" s="468"/>
      <c r="J894" s="76"/>
      <c r="K894" s="843"/>
      <c r="L894" s="1157"/>
      <c r="M894" s="1158"/>
      <c r="N894" s="1158"/>
      <c r="O894" s="1158"/>
    </row>
    <row r="895" spans="1:15" x14ac:dyDescent="0.2">
      <c r="A895" s="75"/>
      <c r="B895" s="52">
        <f t="shared" si="15"/>
        <v>1</v>
      </c>
      <c r="C895" s="45"/>
      <c r="D895" s="1156"/>
      <c r="E895" s="1156"/>
      <c r="F895" s="1156"/>
      <c r="G895" s="1156"/>
      <c r="H895" s="1156"/>
      <c r="I895" s="468"/>
      <c r="J895" s="76"/>
      <c r="K895" s="843"/>
      <c r="L895" s="1157"/>
      <c r="M895" s="1158"/>
      <c r="N895" s="1158"/>
      <c r="O895" s="1158"/>
    </row>
    <row r="896" spans="1:15" x14ac:dyDescent="0.2">
      <c r="A896" s="75"/>
      <c r="B896" s="52">
        <f t="shared" si="15"/>
        <v>1</v>
      </c>
      <c r="C896" s="45"/>
      <c r="D896" s="1156"/>
      <c r="E896" s="1156"/>
      <c r="F896" s="1156"/>
      <c r="G896" s="1156"/>
      <c r="H896" s="1156"/>
      <c r="I896" s="468"/>
      <c r="J896" s="76"/>
      <c r="K896" s="843"/>
      <c r="L896" s="1157"/>
      <c r="M896" s="1158"/>
      <c r="N896" s="1158"/>
      <c r="O896" s="1158"/>
    </row>
    <row r="897" spans="1:15" x14ac:dyDescent="0.2">
      <c r="A897" s="75"/>
      <c r="B897" s="52">
        <f t="shared" si="15"/>
        <v>1</v>
      </c>
      <c r="C897" s="45"/>
      <c r="D897" s="1156"/>
      <c r="E897" s="1156"/>
      <c r="F897" s="1156"/>
      <c r="G897" s="1156"/>
      <c r="H897" s="1156"/>
      <c r="I897" s="468"/>
      <c r="J897" s="76"/>
      <c r="K897" s="843"/>
      <c r="L897" s="1157"/>
      <c r="M897" s="1158"/>
      <c r="N897" s="1158"/>
      <c r="O897" s="1158"/>
    </row>
    <row r="898" spans="1:15" x14ac:dyDescent="0.2">
      <c r="A898" s="75"/>
      <c r="B898" s="52">
        <f t="shared" si="15"/>
        <v>1</v>
      </c>
      <c r="C898" s="45"/>
      <c r="D898" s="1156"/>
      <c r="E898" s="1156"/>
      <c r="F898" s="1156"/>
      <c r="G898" s="1156"/>
      <c r="H898" s="1156"/>
      <c r="I898" s="468"/>
      <c r="J898" s="76"/>
      <c r="K898" s="843"/>
      <c r="L898" s="1157"/>
      <c r="M898" s="1158"/>
      <c r="N898" s="1158"/>
      <c r="O898" s="1158"/>
    </row>
    <row r="899" spans="1:15" x14ac:dyDescent="0.2">
      <c r="A899" s="75"/>
      <c r="B899" s="52">
        <f t="shared" si="15"/>
        <v>1</v>
      </c>
      <c r="C899" s="45"/>
      <c r="D899" s="1156"/>
      <c r="E899" s="1156"/>
      <c r="F899" s="1156"/>
      <c r="G899" s="1156"/>
      <c r="H899" s="1156"/>
      <c r="I899" s="468"/>
      <c r="J899" s="76"/>
      <c r="K899" s="843"/>
      <c r="L899" s="1157"/>
      <c r="M899" s="1158"/>
      <c r="N899" s="1158"/>
      <c r="O899" s="1158"/>
    </row>
    <row r="900" spans="1:15" x14ac:dyDescent="0.2">
      <c r="A900" s="75"/>
      <c r="B900" s="52">
        <f t="shared" si="15"/>
        <v>1</v>
      </c>
      <c r="C900" s="45"/>
      <c r="D900" s="1156"/>
      <c r="E900" s="1156"/>
      <c r="F900" s="1156"/>
      <c r="G900" s="1156"/>
      <c r="H900" s="1156"/>
      <c r="I900" s="468"/>
      <c r="J900" s="76"/>
      <c r="K900" s="843"/>
      <c r="L900" s="1157"/>
      <c r="M900" s="1158"/>
      <c r="N900" s="1158"/>
      <c r="O900" s="1158"/>
    </row>
    <row r="901" spans="1:15" x14ac:dyDescent="0.2">
      <c r="A901" s="75"/>
      <c r="B901" s="52">
        <f t="shared" si="15"/>
        <v>1</v>
      </c>
      <c r="C901" s="45"/>
      <c r="D901" s="1156"/>
      <c r="E901" s="1156"/>
      <c r="F901" s="1156"/>
      <c r="G901" s="1156"/>
      <c r="H901" s="1156"/>
      <c r="I901" s="468"/>
      <c r="J901" s="76"/>
      <c r="K901" s="843"/>
      <c r="L901" s="1157"/>
      <c r="M901" s="1158"/>
      <c r="N901" s="1158"/>
      <c r="O901" s="1158"/>
    </row>
    <row r="902" spans="1:15" x14ac:dyDescent="0.2">
      <c r="A902" s="75"/>
      <c r="B902" s="52">
        <f t="shared" si="15"/>
        <v>1</v>
      </c>
      <c r="C902" s="45"/>
      <c r="D902" s="1156"/>
      <c r="E902" s="1156"/>
      <c r="F902" s="1156"/>
      <c r="G902" s="1156"/>
      <c r="H902" s="1156"/>
      <c r="I902" s="468"/>
      <c r="J902" s="76"/>
      <c r="K902" s="843"/>
      <c r="L902" s="1157"/>
      <c r="M902" s="1158"/>
      <c r="N902" s="1158"/>
      <c r="O902" s="1158"/>
    </row>
    <row r="903" spans="1:15" x14ac:dyDescent="0.2">
      <c r="A903" s="75"/>
      <c r="B903" s="52">
        <f t="shared" si="15"/>
        <v>1</v>
      </c>
      <c r="C903" s="45"/>
      <c r="D903" s="1156"/>
      <c r="E903" s="1156"/>
      <c r="F903" s="1156"/>
      <c r="G903" s="1156"/>
      <c r="H903" s="1156"/>
      <c r="I903" s="468"/>
      <c r="J903" s="76"/>
      <c r="K903" s="843"/>
      <c r="L903" s="1157"/>
      <c r="M903" s="1158"/>
      <c r="N903" s="1158"/>
      <c r="O903" s="1158"/>
    </row>
    <row r="904" spans="1:15" x14ac:dyDescent="0.2">
      <c r="A904" s="75"/>
      <c r="B904" s="52">
        <f t="shared" si="15"/>
        <v>1</v>
      </c>
      <c r="C904" s="45"/>
      <c r="D904" s="1156"/>
      <c r="E904" s="1156"/>
      <c r="F904" s="1156"/>
      <c r="G904" s="1156"/>
      <c r="H904" s="1156"/>
      <c r="I904" s="468"/>
      <c r="J904" s="76"/>
      <c r="K904" s="843"/>
      <c r="L904" s="1157"/>
      <c r="M904" s="1158"/>
      <c r="N904" s="1158"/>
      <c r="O904" s="1158"/>
    </row>
    <row r="905" spans="1:15" x14ac:dyDescent="0.2">
      <c r="A905" s="75"/>
      <c r="B905" s="52">
        <f t="shared" si="15"/>
        <v>1</v>
      </c>
      <c r="C905" s="45"/>
      <c r="D905" s="1156"/>
      <c r="E905" s="1156"/>
      <c r="F905" s="1156"/>
      <c r="G905" s="1156"/>
      <c r="H905" s="1156"/>
      <c r="I905" s="468"/>
      <c r="J905" s="76"/>
      <c r="K905" s="843"/>
      <c r="L905" s="1157"/>
      <c r="M905" s="1158"/>
      <c r="N905" s="1158"/>
      <c r="O905" s="1158"/>
    </row>
    <row r="906" spans="1:15" x14ac:dyDescent="0.2">
      <c r="A906" s="75"/>
      <c r="B906" s="52">
        <f t="shared" si="15"/>
        <v>1</v>
      </c>
      <c r="C906" s="45"/>
      <c r="D906" s="1156"/>
      <c r="E906" s="1156"/>
      <c r="F906" s="1156"/>
      <c r="G906" s="1156"/>
      <c r="H906" s="1156"/>
      <c r="I906" s="468"/>
      <c r="J906" s="76"/>
      <c r="K906" s="843"/>
      <c r="L906" s="1157"/>
      <c r="M906" s="1158"/>
      <c r="N906" s="1158"/>
      <c r="O906" s="1158"/>
    </row>
    <row r="907" spans="1:15" x14ac:dyDescent="0.2">
      <c r="A907" s="75"/>
      <c r="B907" s="52">
        <f t="shared" si="15"/>
        <v>1</v>
      </c>
      <c r="C907" s="45"/>
      <c r="D907" s="1156"/>
      <c r="E907" s="1156"/>
      <c r="F907" s="1156"/>
      <c r="G907" s="1156"/>
      <c r="H907" s="1156"/>
      <c r="I907" s="468"/>
      <c r="J907" s="76"/>
      <c r="K907" s="843"/>
      <c r="L907" s="1157"/>
      <c r="M907" s="1158"/>
      <c r="N907" s="1158"/>
      <c r="O907" s="1158"/>
    </row>
    <row r="908" spans="1:15" x14ac:dyDescent="0.2">
      <c r="A908" s="75"/>
      <c r="B908" s="52">
        <f t="shared" si="15"/>
        <v>1</v>
      </c>
      <c r="C908" s="45"/>
      <c r="D908" s="1156"/>
      <c r="E908" s="1156"/>
      <c r="F908" s="1156"/>
      <c r="G908" s="1156"/>
      <c r="H908" s="1156"/>
      <c r="I908" s="468"/>
      <c r="J908" s="76"/>
      <c r="K908" s="843"/>
      <c r="L908" s="1157"/>
      <c r="M908" s="1158"/>
      <c r="N908" s="1158"/>
      <c r="O908" s="1158"/>
    </row>
    <row r="909" spans="1:15" x14ac:dyDescent="0.2">
      <c r="A909" s="75"/>
      <c r="B909" s="52">
        <f t="shared" si="15"/>
        <v>1</v>
      </c>
      <c r="C909" s="45"/>
      <c r="D909" s="1156"/>
      <c r="E909" s="1156"/>
      <c r="F909" s="1156"/>
      <c r="G909" s="1156"/>
      <c r="H909" s="1156"/>
      <c r="I909" s="468"/>
      <c r="J909" s="76"/>
      <c r="K909" s="843"/>
      <c r="L909" s="1157"/>
      <c r="M909" s="1158"/>
      <c r="N909" s="1158"/>
      <c r="O909" s="1158"/>
    </row>
    <row r="910" spans="1:15" x14ac:dyDescent="0.2">
      <c r="A910" s="75"/>
      <c r="B910" s="52">
        <f t="shared" ref="B910:B973" si="16">MONTH(A910)</f>
        <v>1</v>
      </c>
      <c r="C910" s="45"/>
      <c r="D910" s="1156"/>
      <c r="E910" s="1156"/>
      <c r="F910" s="1156"/>
      <c r="G910" s="1156"/>
      <c r="H910" s="1156"/>
      <c r="I910" s="468"/>
      <c r="J910" s="76"/>
      <c r="K910" s="843"/>
      <c r="L910" s="1157"/>
      <c r="M910" s="1158"/>
      <c r="N910" s="1158"/>
      <c r="O910" s="1158"/>
    </row>
    <row r="911" spans="1:15" x14ac:dyDescent="0.2">
      <c r="A911" s="75"/>
      <c r="B911" s="52">
        <f t="shared" si="16"/>
        <v>1</v>
      </c>
      <c r="C911" s="45"/>
      <c r="D911" s="1156"/>
      <c r="E911" s="1156"/>
      <c r="F911" s="1156"/>
      <c r="G911" s="1156"/>
      <c r="H911" s="1156"/>
      <c r="I911" s="468"/>
      <c r="J911" s="76"/>
      <c r="K911" s="843"/>
      <c r="L911" s="1157"/>
      <c r="M911" s="1158"/>
      <c r="N911" s="1158"/>
      <c r="O911" s="1158"/>
    </row>
    <row r="912" spans="1:15" x14ac:dyDescent="0.2">
      <c r="A912" s="75"/>
      <c r="B912" s="52">
        <f t="shared" si="16"/>
        <v>1</v>
      </c>
      <c r="C912" s="45"/>
      <c r="D912" s="1156"/>
      <c r="E912" s="1156"/>
      <c r="F912" s="1156"/>
      <c r="G912" s="1156"/>
      <c r="H912" s="1156"/>
      <c r="I912" s="468"/>
      <c r="J912" s="76"/>
      <c r="K912" s="843"/>
      <c r="L912" s="1157"/>
      <c r="M912" s="1158"/>
      <c r="N912" s="1158"/>
      <c r="O912" s="1158"/>
    </row>
    <row r="913" spans="1:15" x14ac:dyDescent="0.2">
      <c r="A913" s="75"/>
      <c r="B913" s="52">
        <f t="shared" si="16"/>
        <v>1</v>
      </c>
      <c r="C913" s="45"/>
      <c r="D913" s="1156"/>
      <c r="E913" s="1156"/>
      <c r="F913" s="1156"/>
      <c r="G913" s="1156"/>
      <c r="H913" s="1156"/>
      <c r="I913" s="468"/>
      <c r="J913" s="76"/>
      <c r="K913" s="843"/>
      <c r="L913" s="1157"/>
      <c r="M913" s="1158"/>
      <c r="N913" s="1158"/>
      <c r="O913" s="1158"/>
    </row>
    <row r="914" spans="1:15" x14ac:dyDescent="0.2">
      <c r="A914" s="75"/>
      <c r="B914" s="52">
        <f t="shared" si="16"/>
        <v>1</v>
      </c>
      <c r="C914" s="45"/>
      <c r="D914" s="1156"/>
      <c r="E914" s="1156"/>
      <c r="F914" s="1156"/>
      <c r="G914" s="1156"/>
      <c r="H914" s="1156"/>
      <c r="I914" s="468"/>
      <c r="J914" s="76"/>
      <c r="K914" s="843"/>
      <c r="L914" s="1157"/>
      <c r="M914" s="1158"/>
      <c r="N914" s="1158"/>
      <c r="O914" s="1158"/>
    </row>
    <row r="915" spans="1:15" x14ac:dyDescent="0.2">
      <c r="A915" s="75"/>
      <c r="B915" s="52">
        <f t="shared" si="16"/>
        <v>1</v>
      </c>
      <c r="C915" s="45"/>
      <c r="D915" s="1156"/>
      <c r="E915" s="1156"/>
      <c r="F915" s="1156"/>
      <c r="G915" s="1156"/>
      <c r="H915" s="1156"/>
      <c r="I915" s="468"/>
      <c r="J915" s="76"/>
      <c r="K915" s="843"/>
      <c r="L915" s="1157"/>
      <c r="M915" s="1158"/>
      <c r="N915" s="1158"/>
      <c r="O915" s="1158"/>
    </row>
    <row r="916" spans="1:15" x14ac:dyDescent="0.2">
      <c r="A916" s="75"/>
      <c r="B916" s="52">
        <f t="shared" si="16"/>
        <v>1</v>
      </c>
      <c r="C916" s="45"/>
      <c r="D916" s="1156"/>
      <c r="E916" s="1156"/>
      <c r="F916" s="1156"/>
      <c r="G916" s="1156"/>
      <c r="H916" s="1156"/>
      <c r="I916" s="468"/>
      <c r="J916" s="76"/>
      <c r="K916" s="843"/>
      <c r="L916" s="1157"/>
      <c r="M916" s="1158"/>
      <c r="N916" s="1158"/>
      <c r="O916" s="1158"/>
    </row>
    <row r="917" spans="1:15" x14ac:dyDescent="0.2">
      <c r="A917" s="75"/>
      <c r="B917" s="52">
        <f t="shared" si="16"/>
        <v>1</v>
      </c>
      <c r="C917" s="45"/>
      <c r="D917" s="1156"/>
      <c r="E917" s="1156"/>
      <c r="F917" s="1156"/>
      <c r="G917" s="1156"/>
      <c r="H917" s="1156"/>
      <c r="I917" s="468"/>
      <c r="J917" s="76"/>
      <c r="K917" s="843"/>
      <c r="L917" s="1157"/>
      <c r="M917" s="1158"/>
      <c r="N917" s="1158"/>
      <c r="O917" s="1158"/>
    </row>
    <row r="918" spans="1:15" x14ac:dyDescent="0.2">
      <c r="A918" s="75"/>
      <c r="B918" s="52">
        <f t="shared" si="16"/>
        <v>1</v>
      </c>
      <c r="C918" s="45"/>
      <c r="D918" s="1156"/>
      <c r="E918" s="1156"/>
      <c r="F918" s="1156"/>
      <c r="G918" s="1156"/>
      <c r="H918" s="1156"/>
      <c r="I918" s="468"/>
      <c r="J918" s="76"/>
      <c r="K918" s="843"/>
      <c r="L918" s="1157"/>
      <c r="M918" s="1158"/>
      <c r="N918" s="1158"/>
      <c r="O918" s="1158"/>
    </row>
    <row r="919" spans="1:15" x14ac:dyDescent="0.2">
      <c r="A919" s="75"/>
      <c r="B919" s="52">
        <f t="shared" si="16"/>
        <v>1</v>
      </c>
      <c r="C919" s="45"/>
      <c r="D919" s="1156"/>
      <c r="E919" s="1156"/>
      <c r="F919" s="1156"/>
      <c r="G919" s="1156"/>
      <c r="H919" s="1156"/>
      <c r="I919" s="468"/>
      <c r="J919" s="76"/>
      <c r="K919" s="843"/>
      <c r="L919" s="1157"/>
      <c r="M919" s="1158"/>
      <c r="N919" s="1158"/>
      <c r="O919" s="1158"/>
    </row>
    <row r="920" spans="1:15" x14ac:dyDescent="0.2">
      <c r="A920" s="75"/>
      <c r="B920" s="52">
        <f t="shared" si="16"/>
        <v>1</v>
      </c>
      <c r="C920" s="45"/>
      <c r="D920" s="1156"/>
      <c r="E920" s="1156"/>
      <c r="F920" s="1156"/>
      <c r="G920" s="1156"/>
      <c r="H920" s="1156"/>
      <c r="I920" s="468"/>
      <c r="J920" s="76"/>
      <c r="K920" s="843"/>
      <c r="L920" s="1157"/>
      <c r="M920" s="1158"/>
      <c r="N920" s="1158"/>
      <c r="O920" s="1158"/>
    </row>
    <row r="921" spans="1:15" x14ac:dyDescent="0.2">
      <c r="A921" s="75"/>
      <c r="B921" s="52">
        <f t="shared" si="16"/>
        <v>1</v>
      </c>
      <c r="C921" s="45"/>
      <c r="D921" s="1156"/>
      <c r="E921" s="1156"/>
      <c r="F921" s="1156"/>
      <c r="G921" s="1156"/>
      <c r="H921" s="1156"/>
      <c r="I921" s="468"/>
      <c r="J921" s="76"/>
      <c r="K921" s="843"/>
      <c r="L921" s="1157"/>
      <c r="M921" s="1158"/>
      <c r="N921" s="1158"/>
      <c r="O921" s="1158"/>
    </row>
    <row r="922" spans="1:15" x14ac:dyDescent="0.2">
      <c r="A922" s="75"/>
      <c r="B922" s="52">
        <f t="shared" si="16"/>
        <v>1</v>
      </c>
      <c r="C922" s="45"/>
      <c r="D922" s="1156"/>
      <c r="E922" s="1156"/>
      <c r="F922" s="1156"/>
      <c r="G922" s="1156"/>
      <c r="H922" s="1156"/>
      <c r="I922" s="468"/>
      <c r="J922" s="76"/>
      <c r="K922" s="843"/>
      <c r="L922" s="1157"/>
      <c r="M922" s="1158"/>
      <c r="N922" s="1158"/>
      <c r="O922" s="1158"/>
    </row>
    <row r="923" spans="1:15" x14ac:dyDescent="0.2">
      <c r="A923" s="75"/>
      <c r="B923" s="52">
        <f t="shared" si="16"/>
        <v>1</v>
      </c>
      <c r="C923" s="45"/>
      <c r="D923" s="1156"/>
      <c r="E923" s="1156"/>
      <c r="F923" s="1156"/>
      <c r="G923" s="1156"/>
      <c r="H923" s="1156"/>
      <c r="I923" s="468"/>
      <c r="J923" s="76"/>
      <c r="K923" s="843"/>
      <c r="L923" s="1157"/>
      <c r="M923" s="1158"/>
      <c r="N923" s="1158"/>
      <c r="O923" s="1158"/>
    </row>
    <row r="924" spans="1:15" x14ac:dyDescent="0.2">
      <c r="A924" s="75"/>
      <c r="B924" s="52">
        <f t="shared" si="16"/>
        <v>1</v>
      </c>
      <c r="C924" s="45"/>
      <c r="D924" s="1156"/>
      <c r="E924" s="1156"/>
      <c r="F924" s="1156"/>
      <c r="G924" s="1156"/>
      <c r="H924" s="1156"/>
      <c r="I924" s="468"/>
      <c r="J924" s="76"/>
      <c r="K924" s="843"/>
      <c r="L924" s="1157"/>
      <c r="M924" s="1158"/>
      <c r="N924" s="1158"/>
      <c r="O924" s="1158"/>
    </row>
    <row r="925" spans="1:15" x14ac:dyDescent="0.2">
      <c r="A925" s="75"/>
      <c r="B925" s="52">
        <f t="shared" si="16"/>
        <v>1</v>
      </c>
      <c r="C925" s="45"/>
      <c r="D925" s="1156"/>
      <c r="E925" s="1156"/>
      <c r="F925" s="1156"/>
      <c r="G925" s="1156"/>
      <c r="H925" s="1156"/>
      <c r="I925" s="468"/>
      <c r="J925" s="76"/>
      <c r="K925" s="843"/>
      <c r="L925" s="1157"/>
      <c r="M925" s="1158"/>
      <c r="N925" s="1158"/>
      <c r="O925" s="1158"/>
    </row>
    <row r="926" spans="1:15" x14ac:dyDescent="0.2">
      <c r="A926" s="75"/>
      <c r="B926" s="52">
        <f t="shared" si="16"/>
        <v>1</v>
      </c>
      <c r="C926" s="45"/>
      <c r="D926" s="1156"/>
      <c r="E926" s="1156"/>
      <c r="F926" s="1156"/>
      <c r="G926" s="1156"/>
      <c r="H926" s="1156"/>
      <c r="I926" s="468"/>
      <c r="J926" s="76"/>
      <c r="K926" s="843"/>
      <c r="L926" s="1157"/>
      <c r="M926" s="1158"/>
      <c r="N926" s="1158"/>
      <c r="O926" s="1158"/>
    </row>
    <row r="927" spans="1:15" x14ac:dyDescent="0.2">
      <c r="A927" s="75"/>
      <c r="B927" s="52">
        <f t="shared" si="16"/>
        <v>1</v>
      </c>
      <c r="C927" s="45"/>
      <c r="D927" s="1156"/>
      <c r="E927" s="1156"/>
      <c r="F927" s="1156"/>
      <c r="G927" s="1156"/>
      <c r="H927" s="1156"/>
      <c r="I927" s="468"/>
      <c r="J927" s="76"/>
      <c r="K927" s="843"/>
      <c r="L927" s="1157"/>
      <c r="M927" s="1158"/>
      <c r="N927" s="1158"/>
      <c r="O927" s="1158"/>
    </row>
    <row r="928" spans="1:15" x14ac:dyDescent="0.2">
      <c r="A928" s="75"/>
      <c r="B928" s="52">
        <f t="shared" si="16"/>
        <v>1</v>
      </c>
      <c r="C928" s="45"/>
      <c r="D928" s="1156"/>
      <c r="E928" s="1156"/>
      <c r="F928" s="1156"/>
      <c r="G928" s="1156"/>
      <c r="H928" s="1156"/>
      <c r="I928" s="468"/>
      <c r="J928" s="76"/>
      <c r="K928" s="843"/>
      <c r="L928" s="1157"/>
      <c r="M928" s="1158"/>
      <c r="N928" s="1158"/>
      <c r="O928" s="1158"/>
    </row>
    <row r="929" spans="1:15" x14ac:dyDescent="0.2">
      <c r="A929" s="75"/>
      <c r="B929" s="52">
        <f t="shared" si="16"/>
        <v>1</v>
      </c>
      <c r="C929" s="45"/>
      <c r="D929" s="1156"/>
      <c r="E929" s="1156"/>
      <c r="F929" s="1156"/>
      <c r="G929" s="1156"/>
      <c r="H929" s="1156"/>
      <c r="I929" s="468"/>
      <c r="J929" s="76"/>
      <c r="K929" s="843"/>
      <c r="L929" s="1157"/>
      <c r="M929" s="1158"/>
      <c r="N929" s="1158"/>
      <c r="O929" s="1158"/>
    </row>
    <row r="930" spans="1:15" x14ac:dyDescent="0.2">
      <c r="A930" s="75"/>
      <c r="B930" s="52">
        <f t="shared" si="16"/>
        <v>1</v>
      </c>
      <c r="C930" s="45"/>
      <c r="D930" s="1156"/>
      <c r="E930" s="1156"/>
      <c r="F930" s="1156"/>
      <c r="G930" s="1156"/>
      <c r="H930" s="1156"/>
      <c r="I930" s="468"/>
      <c r="J930" s="76"/>
      <c r="K930" s="843"/>
      <c r="L930" s="1157"/>
      <c r="M930" s="1158"/>
      <c r="N930" s="1158"/>
      <c r="O930" s="1158"/>
    </row>
    <row r="931" spans="1:15" x14ac:dyDescent="0.2">
      <c r="A931" s="75"/>
      <c r="B931" s="52">
        <f t="shared" si="16"/>
        <v>1</v>
      </c>
      <c r="C931" s="45"/>
      <c r="D931" s="1156"/>
      <c r="E931" s="1156"/>
      <c r="F931" s="1156"/>
      <c r="G931" s="1156"/>
      <c r="H931" s="1156"/>
      <c r="I931" s="468"/>
      <c r="J931" s="76"/>
      <c r="K931" s="843"/>
      <c r="L931" s="1157"/>
      <c r="M931" s="1158"/>
      <c r="N931" s="1158"/>
      <c r="O931" s="1158"/>
    </row>
    <row r="932" spans="1:15" x14ac:dyDescent="0.2">
      <c r="A932" s="75"/>
      <c r="B932" s="52">
        <f t="shared" si="16"/>
        <v>1</v>
      </c>
      <c r="C932" s="45"/>
      <c r="D932" s="1156"/>
      <c r="E932" s="1156"/>
      <c r="F932" s="1156"/>
      <c r="G932" s="1156"/>
      <c r="H932" s="1156"/>
      <c r="I932" s="468"/>
      <c r="J932" s="76"/>
      <c r="K932" s="843"/>
      <c r="L932" s="1157"/>
      <c r="M932" s="1158"/>
      <c r="N932" s="1158"/>
      <c r="O932" s="1158"/>
    </row>
    <row r="933" spans="1:15" x14ac:dyDescent="0.2">
      <c r="A933" s="75"/>
      <c r="B933" s="52">
        <f t="shared" si="16"/>
        <v>1</v>
      </c>
      <c r="C933" s="45"/>
      <c r="D933" s="1156"/>
      <c r="E933" s="1156"/>
      <c r="F933" s="1156"/>
      <c r="G933" s="1156"/>
      <c r="H933" s="1156"/>
      <c r="I933" s="468"/>
      <c r="J933" s="76"/>
      <c r="K933" s="843"/>
      <c r="L933" s="1157"/>
      <c r="M933" s="1158"/>
      <c r="N933" s="1158"/>
      <c r="O933" s="1158"/>
    </row>
    <row r="934" spans="1:15" x14ac:dyDescent="0.2">
      <c r="A934" s="75"/>
      <c r="B934" s="52">
        <f t="shared" si="16"/>
        <v>1</v>
      </c>
      <c r="C934" s="45"/>
      <c r="D934" s="1156"/>
      <c r="E934" s="1156"/>
      <c r="F934" s="1156"/>
      <c r="G934" s="1156"/>
      <c r="H934" s="1156"/>
      <c r="I934" s="468"/>
      <c r="J934" s="76"/>
      <c r="K934" s="843"/>
      <c r="L934" s="1157"/>
      <c r="M934" s="1158"/>
      <c r="N934" s="1158"/>
      <c r="O934" s="1158"/>
    </row>
    <row r="935" spans="1:15" x14ac:dyDescent="0.2">
      <c r="A935" s="75"/>
      <c r="B935" s="52">
        <f t="shared" si="16"/>
        <v>1</v>
      </c>
      <c r="C935" s="45"/>
      <c r="D935" s="1156"/>
      <c r="E935" s="1156"/>
      <c r="F935" s="1156"/>
      <c r="G935" s="1156"/>
      <c r="H935" s="1156"/>
      <c r="I935" s="468"/>
      <c r="J935" s="76"/>
      <c r="K935" s="843"/>
      <c r="L935" s="1157"/>
      <c r="M935" s="1158"/>
      <c r="N935" s="1158"/>
      <c r="O935" s="1158"/>
    </row>
    <row r="936" spans="1:15" x14ac:dyDescent="0.2">
      <c r="A936" s="75"/>
      <c r="B936" s="52">
        <f t="shared" si="16"/>
        <v>1</v>
      </c>
      <c r="C936" s="45"/>
      <c r="D936" s="1156"/>
      <c r="E936" s="1156"/>
      <c r="F936" s="1156"/>
      <c r="G936" s="1156"/>
      <c r="H936" s="1156"/>
      <c r="I936" s="468"/>
      <c r="J936" s="76"/>
      <c r="K936" s="843"/>
      <c r="L936" s="1157"/>
      <c r="M936" s="1158"/>
      <c r="N936" s="1158"/>
      <c r="O936" s="1158"/>
    </row>
    <row r="937" spans="1:15" x14ac:dyDescent="0.2">
      <c r="A937" s="75"/>
      <c r="B937" s="52">
        <f t="shared" si="16"/>
        <v>1</v>
      </c>
      <c r="C937" s="45"/>
      <c r="D937" s="1156"/>
      <c r="E937" s="1156"/>
      <c r="F937" s="1156"/>
      <c r="G937" s="1156"/>
      <c r="H937" s="1156"/>
      <c r="I937" s="468"/>
      <c r="J937" s="76"/>
      <c r="K937" s="843"/>
      <c r="L937" s="1157"/>
      <c r="M937" s="1158"/>
      <c r="N937" s="1158"/>
      <c r="O937" s="1158"/>
    </row>
    <row r="938" spans="1:15" x14ac:dyDescent="0.2">
      <c r="A938" s="75"/>
      <c r="B938" s="52">
        <f t="shared" si="16"/>
        <v>1</v>
      </c>
      <c r="C938" s="45"/>
      <c r="D938" s="1156"/>
      <c r="E938" s="1156"/>
      <c r="F938" s="1156"/>
      <c r="G938" s="1156"/>
      <c r="H938" s="1156"/>
      <c r="I938" s="468"/>
      <c r="J938" s="76"/>
      <c r="K938" s="843"/>
      <c r="L938" s="1157"/>
      <c r="M938" s="1158"/>
      <c r="N938" s="1158"/>
      <c r="O938" s="1158"/>
    </row>
    <row r="939" spans="1:15" x14ac:dyDescent="0.2">
      <c r="A939" s="75"/>
      <c r="B939" s="52">
        <f t="shared" si="16"/>
        <v>1</v>
      </c>
      <c r="C939" s="45"/>
      <c r="D939" s="1156"/>
      <c r="E939" s="1156"/>
      <c r="F939" s="1156"/>
      <c r="G939" s="1156"/>
      <c r="H939" s="1156"/>
      <c r="I939" s="468"/>
      <c r="J939" s="76"/>
      <c r="K939" s="843"/>
      <c r="L939" s="1157"/>
      <c r="M939" s="1158"/>
      <c r="N939" s="1158"/>
      <c r="O939" s="1158"/>
    </row>
    <row r="940" spans="1:15" x14ac:dyDescent="0.2">
      <c r="A940" s="75"/>
      <c r="B940" s="52">
        <f t="shared" si="16"/>
        <v>1</v>
      </c>
      <c r="C940" s="45"/>
      <c r="D940" s="1156"/>
      <c r="E940" s="1156"/>
      <c r="F940" s="1156"/>
      <c r="G940" s="1156"/>
      <c r="H940" s="1156"/>
      <c r="I940" s="468"/>
      <c r="J940" s="76"/>
      <c r="K940" s="843"/>
      <c r="L940" s="1157"/>
      <c r="M940" s="1158"/>
      <c r="N940" s="1158"/>
      <c r="O940" s="1158"/>
    </row>
    <row r="941" spans="1:15" x14ac:dyDescent="0.2">
      <c r="A941" s="75"/>
      <c r="B941" s="52">
        <f t="shared" si="16"/>
        <v>1</v>
      </c>
      <c r="C941" s="45"/>
      <c r="D941" s="1156"/>
      <c r="E941" s="1156"/>
      <c r="F941" s="1156"/>
      <c r="G941" s="1156"/>
      <c r="H941" s="1156"/>
      <c r="I941" s="468"/>
      <c r="J941" s="76"/>
      <c r="K941" s="843"/>
      <c r="L941" s="1157"/>
      <c r="M941" s="1158"/>
      <c r="N941" s="1158"/>
      <c r="O941" s="1158"/>
    </row>
    <row r="942" spans="1:15" x14ac:dyDescent="0.2">
      <c r="A942" s="75"/>
      <c r="B942" s="52">
        <f t="shared" si="16"/>
        <v>1</v>
      </c>
      <c r="C942" s="45"/>
      <c r="D942" s="1156"/>
      <c r="E942" s="1156"/>
      <c r="F942" s="1156"/>
      <c r="G942" s="1156"/>
      <c r="H942" s="1156"/>
      <c r="I942" s="468"/>
      <c r="J942" s="76"/>
      <c r="K942" s="843"/>
      <c r="L942" s="1157"/>
      <c r="M942" s="1158"/>
      <c r="N942" s="1158"/>
      <c r="O942" s="1158"/>
    </row>
    <row r="943" spans="1:15" x14ac:dyDescent="0.2">
      <c r="A943" s="75"/>
      <c r="B943" s="52">
        <f t="shared" si="16"/>
        <v>1</v>
      </c>
      <c r="C943" s="45"/>
      <c r="D943" s="1156"/>
      <c r="E943" s="1156"/>
      <c r="F943" s="1156"/>
      <c r="G943" s="1156"/>
      <c r="H943" s="1156"/>
      <c r="I943" s="468"/>
      <c r="J943" s="76"/>
      <c r="K943" s="843"/>
      <c r="L943" s="1157"/>
      <c r="M943" s="1158"/>
      <c r="N943" s="1158"/>
      <c r="O943" s="1158"/>
    </row>
    <row r="944" spans="1:15" x14ac:dyDescent="0.2">
      <c r="A944" s="75"/>
      <c r="B944" s="52">
        <f t="shared" si="16"/>
        <v>1</v>
      </c>
      <c r="C944" s="45"/>
      <c r="D944" s="1156"/>
      <c r="E944" s="1156"/>
      <c r="F944" s="1156"/>
      <c r="G944" s="1156"/>
      <c r="H944" s="1156"/>
      <c r="I944" s="468"/>
      <c r="J944" s="76"/>
      <c r="K944" s="843"/>
      <c r="L944" s="1157"/>
      <c r="M944" s="1158"/>
      <c r="N944" s="1158"/>
      <c r="O944" s="1158"/>
    </row>
    <row r="945" spans="1:15" x14ac:dyDescent="0.2">
      <c r="A945" s="75"/>
      <c r="B945" s="52">
        <f t="shared" si="16"/>
        <v>1</v>
      </c>
      <c r="C945" s="45"/>
      <c r="D945" s="1156"/>
      <c r="E945" s="1156"/>
      <c r="F945" s="1156"/>
      <c r="G945" s="1156"/>
      <c r="H945" s="1156"/>
      <c r="I945" s="468"/>
      <c r="J945" s="76"/>
      <c r="K945" s="843"/>
      <c r="L945" s="1157"/>
      <c r="M945" s="1158"/>
      <c r="N945" s="1158"/>
      <c r="O945" s="1158"/>
    </row>
    <row r="946" spans="1:15" x14ac:dyDescent="0.2">
      <c r="A946" s="75"/>
      <c r="B946" s="52">
        <f t="shared" si="16"/>
        <v>1</v>
      </c>
      <c r="C946" s="45"/>
      <c r="D946" s="1156"/>
      <c r="E946" s="1156"/>
      <c r="F946" s="1156"/>
      <c r="G946" s="1156"/>
      <c r="H946" s="1156"/>
      <c r="I946" s="468"/>
      <c r="J946" s="76"/>
      <c r="K946" s="843"/>
      <c r="L946" s="1157"/>
      <c r="M946" s="1158"/>
      <c r="N946" s="1158"/>
      <c r="O946" s="1158"/>
    </row>
    <row r="947" spans="1:15" x14ac:dyDescent="0.2">
      <c r="A947" s="75"/>
      <c r="B947" s="52">
        <f t="shared" si="16"/>
        <v>1</v>
      </c>
      <c r="C947" s="45"/>
      <c r="D947" s="1156"/>
      <c r="E947" s="1156"/>
      <c r="F947" s="1156"/>
      <c r="G947" s="1156"/>
      <c r="H947" s="1156"/>
      <c r="I947" s="468"/>
      <c r="J947" s="76"/>
      <c r="K947" s="843"/>
      <c r="L947" s="1157"/>
      <c r="M947" s="1158"/>
      <c r="N947" s="1158"/>
      <c r="O947" s="1158"/>
    </row>
    <row r="948" spans="1:15" x14ac:dyDescent="0.2">
      <c r="A948" s="75"/>
      <c r="B948" s="52">
        <f t="shared" si="16"/>
        <v>1</v>
      </c>
      <c r="C948" s="45"/>
      <c r="D948" s="1156"/>
      <c r="E948" s="1156"/>
      <c r="F948" s="1156"/>
      <c r="G948" s="1156"/>
      <c r="H948" s="1156"/>
      <c r="I948" s="468"/>
      <c r="J948" s="76"/>
      <c r="K948" s="843"/>
      <c r="L948" s="1157"/>
      <c r="M948" s="1158"/>
      <c r="N948" s="1158"/>
      <c r="O948" s="1158"/>
    </row>
    <row r="949" spans="1:15" x14ac:dyDescent="0.2">
      <c r="A949" s="75"/>
      <c r="B949" s="52">
        <f t="shared" si="16"/>
        <v>1</v>
      </c>
      <c r="C949" s="45"/>
      <c r="D949" s="1156"/>
      <c r="E949" s="1156"/>
      <c r="F949" s="1156"/>
      <c r="G949" s="1156"/>
      <c r="H949" s="1156"/>
      <c r="I949" s="468"/>
      <c r="J949" s="76"/>
      <c r="K949" s="843"/>
      <c r="L949" s="1157"/>
      <c r="M949" s="1158"/>
      <c r="N949" s="1158"/>
      <c r="O949" s="1158"/>
    </row>
    <row r="950" spans="1:15" x14ac:dyDescent="0.2">
      <c r="A950" s="75"/>
      <c r="B950" s="52">
        <f t="shared" si="16"/>
        <v>1</v>
      </c>
      <c r="C950" s="45"/>
      <c r="D950" s="1156"/>
      <c r="E950" s="1156"/>
      <c r="F950" s="1156"/>
      <c r="G950" s="1156"/>
      <c r="H950" s="1156"/>
      <c r="I950" s="468"/>
      <c r="J950" s="76"/>
      <c r="K950" s="843"/>
      <c r="L950" s="1157"/>
      <c r="M950" s="1158"/>
      <c r="N950" s="1158"/>
      <c r="O950" s="1158"/>
    </row>
    <row r="951" spans="1:15" x14ac:dyDescent="0.2">
      <c r="A951" s="75"/>
      <c r="B951" s="52">
        <f t="shared" si="16"/>
        <v>1</v>
      </c>
      <c r="C951" s="45"/>
      <c r="D951" s="1156"/>
      <c r="E951" s="1156"/>
      <c r="F951" s="1156"/>
      <c r="G951" s="1156"/>
      <c r="H951" s="1156"/>
      <c r="I951" s="468"/>
      <c r="J951" s="76"/>
      <c r="K951" s="843"/>
      <c r="L951" s="1157"/>
      <c r="M951" s="1158"/>
      <c r="N951" s="1158"/>
      <c r="O951" s="1158"/>
    </row>
    <row r="952" spans="1:15" x14ac:dyDescent="0.2">
      <c r="A952" s="75"/>
      <c r="B952" s="52">
        <f t="shared" si="16"/>
        <v>1</v>
      </c>
      <c r="C952" s="45"/>
      <c r="D952" s="1156"/>
      <c r="E952" s="1156"/>
      <c r="F952" s="1156"/>
      <c r="G952" s="1156"/>
      <c r="H952" s="1156"/>
      <c r="I952" s="468"/>
      <c r="J952" s="76"/>
      <c r="K952" s="843"/>
      <c r="L952" s="1157"/>
      <c r="M952" s="1158"/>
      <c r="N952" s="1158"/>
      <c r="O952" s="1158"/>
    </row>
    <row r="953" spans="1:15" x14ac:dyDescent="0.2">
      <c r="A953" s="75"/>
      <c r="B953" s="52">
        <f t="shared" si="16"/>
        <v>1</v>
      </c>
      <c r="C953" s="45"/>
      <c r="D953" s="1156"/>
      <c r="E953" s="1156"/>
      <c r="F953" s="1156"/>
      <c r="G953" s="1156"/>
      <c r="H953" s="1156"/>
      <c r="I953" s="468"/>
      <c r="J953" s="76"/>
      <c r="K953" s="843"/>
      <c r="L953" s="1157"/>
      <c r="M953" s="1158"/>
      <c r="N953" s="1158"/>
      <c r="O953" s="1158"/>
    </row>
    <row r="954" spans="1:15" x14ac:dyDescent="0.2">
      <c r="A954" s="75"/>
      <c r="B954" s="52">
        <f t="shared" si="16"/>
        <v>1</v>
      </c>
      <c r="C954" s="45"/>
      <c r="D954" s="1156"/>
      <c r="E954" s="1156"/>
      <c r="F954" s="1156"/>
      <c r="G954" s="1156"/>
      <c r="H954" s="1156"/>
      <c r="I954" s="468"/>
      <c r="J954" s="76"/>
      <c r="K954" s="843"/>
      <c r="L954" s="1157"/>
      <c r="M954" s="1158"/>
      <c r="N954" s="1158"/>
      <c r="O954" s="1158"/>
    </row>
    <row r="955" spans="1:15" x14ac:dyDescent="0.2">
      <c r="A955" s="75"/>
      <c r="B955" s="52">
        <f t="shared" si="16"/>
        <v>1</v>
      </c>
      <c r="C955" s="45"/>
      <c r="D955" s="1156"/>
      <c r="E955" s="1156"/>
      <c r="F955" s="1156"/>
      <c r="G955" s="1156"/>
      <c r="H955" s="1156"/>
      <c r="I955" s="468"/>
      <c r="J955" s="76"/>
      <c r="K955" s="843"/>
      <c r="L955" s="1157"/>
      <c r="M955" s="1158"/>
      <c r="N955" s="1158"/>
      <c r="O955" s="1158"/>
    </row>
    <row r="956" spans="1:15" x14ac:dyDescent="0.2">
      <c r="A956" s="75"/>
      <c r="B956" s="52">
        <f t="shared" si="16"/>
        <v>1</v>
      </c>
      <c r="C956" s="45"/>
      <c r="D956" s="1156"/>
      <c r="E956" s="1156"/>
      <c r="F956" s="1156"/>
      <c r="G956" s="1156"/>
      <c r="H956" s="1156"/>
      <c r="I956" s="468"/>
      <c r="J956" s="76"/>
      <c r="K956" s="843"/>
      <c r="L956" s="1157"/>
      <c r="M956" s="1158"/>
      <c r="N956" s="1158"/>
      <c r="O956" s="1158"/>
    </row>
    <row r="957" spans="1:15" x14ac:dyDescent="0.2">
      <c r="A957" s="75"/>
      <c r="B957" s="52">
        <f t="shared" si="16"/>
        <v>1</v>
      </c>
      <c r="C957" s="45"/>
      <c r="D957" s="1156"/>
      <c r="E957" s="1156"/>
      <c r="F957" s="1156"/>
      <c r="G957" s="1156"/>
      <c r="H957" s="1156"/>
      <c r="I957" s="468"/>
      <c r="J957" s="76"/>
      <c r="K957" s="843"/>
      <c r="L957" s="1157"/>
      <c r="M957" s="1158"/>
      <c r="N957" s="1158"/>
      <c r="O957" s="1158"/>
    </row>
    <row r="958" spans="1:15" x14ac:dyDescent="0.2">
      <c r="A958" s="75"/>
      <c r="B958" s="52">
        <f t="shared" si="16"/>
        <v>1</v>
      </c>
      <c r="C958" s="45"/>
      <c r="D958" s="1156"/>
      <c r="E958" s="1156"/>
      <c r="F958" s="1156"/>
      <c r="G958" s="1156"/>
      <c r="H958" s="1156"/>
      <c r="I958" s="468"/>
      <c r="J958" s="76"/>
      <c r="K958" s="843"/>
      <c r="L958" s="1157"/>
      <c r="M958" s="1158"/>
      <c r="N958" s="1158"/>
      <c r="O958" s="1158"/>
    </row>
    <row r="959" spans="1:15" x14ac:dyDescent="0.2">
      <c r="A959" s="75"/>
      <c r="B959" s="52">
        <f t="shared" si="16"/>
        <v>1</v>
      </c>
      <c r="C959" s="45"/>
      <c r="D959" s="1156"/>
      <c r="E959" s="1156"/>
      <c r="F959" s="1156"/>
      <c r="G959" s="1156"/>
      <c r="H959" s="1156"/>
      <c r="I959" s="468"/>
      <c r="J959" s="76"/>
      <c r="K959" s="843"/>
      <c r="L959" s="1157"/>
      <c r="M959" s="1158"/>
      <c r="N959" s="1158"/>
      <c r="O959" s="1158"/>
    </row>
    <row r="960" spans="1:15" x14ac:dyDescent="0.2">
      <c r="A960" s="75"/>
      <c r="B960" s="52">
        <f t="shared" si="16"/>
        <v>1</v>
      </c>
      <c r="C960" s="45"/>
      <c r="D960" s="1156"/>
      <c r="E960" s="1156"/>
      <c r="F960" s="1156"/>
      <c r="G960" s="1156"/>
      <c r="H960" s="1156"/>
      <c r="I960" s="468"/>
      <c r="J960" s="76"/>
      <c r="K960" s="843"/>
      <c r="L960" s="1157"/>
      <c r="M960" s="1158"/>
      <c r="N960" s="1158"/>
      <c r="O960" s="1158"/>
    </row>
    <row r="961" spans="1:15" x14ac:dyDescent="0.2">
      <c r="A961" s="75"/>
      <c r="B961" s="52">
        <f t="shared" si="16"/>
        <v>1</v>
      </c>
      <c r="C961" s="45"/>
      <c r="D961" s="1156"/>
      <c r="E961" s="1156"/>
      <c r="F961" s="1156"/>
      <c r="G961" s="1156"/>
      <c r="H961" s="1156"/>
      <c r="I961" s="468"/>
      <c r="J961" s="76"/>
      <c r="K961" s="843"/>
      <c r="L961" s="1157"/>
      <c r="M961" s="1158"/>
      <c r="N961" s="1158"/>
      <c r="O961" s="1158"/>
    </row>
    <row r="962" spans="1:15" x14ac:dyDescent="0.2">
      <c r="A962" s="75"/>
      <c r="B962" s="52">
        <f t="shared" si="16"/>
        <v>1</v>
      </c>
      <c r="C962" s="45"/>
      <c r="D962" s="1156"/>
      <c r="E962" s="1156"/>
      <c r="F962" s="1156"/>
      <c r="G962" s="1156"/>
      <c r="H962" s="1156"/>
      <c r="I962" s="468"/>
      <c r="J962" s="76"/>
      <c r="K962" s="843"/>
      <c r="L962" s="1157"/>
      <c r="M962" s="1158"/>
      <c r="N962" s="1158"/>
      <c r="O962" s="1158"/>
    </row>
    <row r="963" spans="1:15" x14ac:dyDescent="0.2">
      <c r="A963" s="75"/>
      <c r="B963" s="52">
        <f t="shared" si="16"/>
        <v>1</v>
      </c>
      <c r="C963" s="45"/>
      <c r="D963" s="1156"/>
      <c r="E963" s="1156"/>
      <c r="F963" s="1156"/>
      <c r="G963" s="1156"/>
      <c r="H963" s="1156"/>
      <c r="I963" s="468"/>
      <c r="J963" s="76"/>
      <c r="K963" s="843"/>
      <c r="L963" s="1157"/>
      <c r="M963" s="1158"/>
      <c r="N963" s="1158"/>
      <c r="O963" s="1158"/>
    </row>
    <row r="964" spans="1:15" x14ac:dyDescent="0.2">
      <c r="A964" s="75"/>
      <c r="B964" s="52">
        <f t="shared" si="16"/>
        <v>1</v>
      </c>
      <c r="C964" s="45"/>
      <c r="D964" s="1156"/>
      <c r="E964" s="1156"/>
      <c r="F964" s="1156"/>
      <c r="G964" s="1156"/>
      <c r="H964" s="1156"/>
      <c r="I964" s="468"/>
      <c r="J964" s="76"/>
      <c r="K964" s="843"/>
      <c r="L964" s="1157"/>
      <c r="M964" s="1158"/>
      <c r="N964" s="1158"/>
      <c r="O964" s="1158"/>
    </row>
    <row r="965" spans="1:15" x14ac:dyDescent="0.2">
      <c r="A965" s="75"/>
      <c r="B965" s="52">
        <f t="shared" si="16"/>
        <v>1</v>
      </c>
      <c r="C965" s="45"/>
      <c r="D965" s="1156"/>
      <c r="E965" s="1156"/>
      <c r="F965" s="1156"/>
      <c r="G965" s="1156"/>
      <c r="H965" s="1156"/>
      <c r="I965" s="468"/>
      <c r="J965" s="76"/>
      <c r="K965" s="843"/>
      <c r="L965" s="1157"/>
      <c r="M965" s="1158"/>
      <c r="N965" s="1158"/>
      <c r="O965" s="1158"/>
    </row>
    <row r="966" spans="1:15" x14ac:dyDescent="0.2">
      <c r="A966" s="75"/>
      <c r="B966" s="52">
        <f t="shared" si="16"/>
        <v>1</v>
      </c>
      <c r="C966" s="45"/>
      <c r="D966" s="1156"/>
      <c r="E966" s="1156"/>
      <c r="F966" s="1156"/>
      <c r="G966" s="1156"/>
      <c r="H966" s="1156"/>
      <c r="I966" s="468"/>
      <c r="J966" s="76"/>
      <c r="K966" s="843"/>
      <c r="L966" s="1157"/>
      <c r="M966" s="1158"/>
      <c r="N966" s="1158"/>
      <c r="O966" s="1158"/>
    </row>
    <row r="967" spans="1:15" x14ac:dyDescent="0.2">
      <c r="A967" s="75"/>
      <c r="B967" s="52">
        <f t="shared" si="16"/>
        <v>1</v>
      </c>
      <c r="C967" s="45"/>
      <c r="D967" s="1156"/>
      <c r="E967" s="1156"/>
      <c r="F967" s="1156"/>
      <c r="G967" s="1156"/>
      <c r="H967" s="1156"/>
      <c r="I967" s="468"/>
      <c r="J967" s="76"/>
      <c r="K967" s="843"/>
      <c r="L967" s="1157"/>
      <c r="M967" s="1158"/>
      <c r="N967" s="1158"/>
      <c r="O967" s="1158"/>
    </row>
    <row r="968" spans="1:15" x14ac:dyDescent="0.2">
      <c r="A968" s="75"/>
      <c r="B968" s="52">
        <f t="shared" si="16"/>
        <v>1</v>
      </c>
      <c r="C968" s="45"/>
      <c r="D968" s="1156"/>
      <c r="E968" s="1156"/>
      <c r="F968" s="1156"/>
      <c r="G968" s="1156"/>
      <c r="H968" s="1156"/>
      <c r="I968" s="468"/>
      <c r="J968" s="76"/>
      <c r="K968" s="843"/>
      <c r="L968" s="1157"/>
      <c r="M968" s="1158"/>
      <c r="N968" s="1158"/>
      <c r="O968" s="1158"/>
    </row>
    <row r="969" spans="1:15" x14ac:dyDescent="0.2">
      <c r="A969" s="75"/>
      <c r="B969" s="52">
        <f t="shared" si="16"/>
        <v>1</v>
      </c>
      <c r="C969" s="45"/>
      <c r="D969" s="1156"/>
      <c r="E969" s="1156"/>
      <c r="F969" s="1156"/>
      <c r="G969" s="1156"/>
      <c r="H969" s="1156"/>
      <c r="I969" s="468"/>
      <c r="J969" s="76"/>
      <c r="K969" s="843"/>
      <c r="L969" s="1157"/>
      <c r="M969" s="1158"/>
      <c r="N969" s="1158"/>
      <c r="O969" s="1158"/>
    </row>
    <row r="970" spans="1:15" x14ac:dyDescent="0.2">
      <c r="A970" s="75"/>
      <c r="B970" s="52">
        <f t="shared" si="16"/>
        <v>1</v>
      </c>
      <c r="C970" s="45"/>
      <c r="D970" s="1156"/>
      <c r="E970" s="1156"/>
      <c r="F970" s="1156"/>
      <c r="G970" s="1156"/>
      <c r="H970" s="1156"/>
      <c r="I970" s="468"/>
      <c r="J970" s="76"/>
      <c r="K970" s="843"/>
      <c r="L970" s="1157"/>
      <c r="M970" s="1158"/>
      <c r="N970" s="1158"/>
      <c r="O970" s="1158"/>
    </row>
    <row r="971" spans="1:15" x14ac:dyDescent="0.2">
      <c r="A971" s="75"/>
      <c r="B971" s="52">
        <f t="shared" si="16"/>
        <v>1</v>
      </c>
      <c r="C971" s="45"/>
      <c r="D971" s="1156"/>
      <c r="E971" s="1156"/>
      <c r="F971" s="1156"/>
      <c r="G971" s="1156"/>
      <c r="H971" s="1156"/>
      <c r="I971" s="468"/>
      <c r="J971" s="76"/>
      <c r="K971" s="843"/>
      <c r="L971" s="1157"/>
      <c r="M971" s="1158"/>
      <c r="N971" s="1158"/>
      <c r="O971" s="1158"/>
    </row>
    <row r="972" spans="1:15" x14ac:dyDescent="0.2">
      <c r="A972" s="75"/>
      <c r="B972" s="52">
        <f t="shared" si="16"/>
        <v>1</v>
      </c>
      <c r="C972" s="45"/>
      <c r="D972" s="1156"/>
      <c r="E972" s="1156"/>
      <c r="F972" s="1156"/>
      <c r="G972" s="1156"/>
      <c r="H972" s="1156"/>
      <c r="I972" s="468"/>
      <c r="J972" s="76"/>
      <c r="K972" s="843"/>
      <c r="L972" s="1157"/>
      <c r="M972" s="1158"/>
      <c r="N972" s="1158"/>
      <c r="O972" s="1158"/>
    </row>
    <row r="973" spans="1:15" x14ac:dyDescent="0.2">
      <c r="A973" s="75"/>
      <c r="B973" s="52">
        <f t="shared" si="16"/>
        <v>1</v>
      </c>
      <c r="C973" s="45"/>
      <c r="D973" s="1156"/>
      <c r="E973" s="1156"/>
      <c r="F973" s="1156"/>
      <c r="G973" s="1156"/>
      <c r="H973" s="1156"/>
      <c r="I973" s="468"/>
      <c r="J973" s="76"/>
      <c r="K973" s="843"/>
      <c r="L973" s="1157"/>
      <c r="M973" s="1158"/>
      <c r="N973" s="1158"/>
      <c r="O973" s="1158"/>
    </row>
    <row r="974" spans="1:15" x14ac:dyDescent="0.2">
      <c r="A974" s="75"/>
      <c r="B974" s="52">
        <f t="shared" ref="B974:B1013" si="17">MONTH(A974)</f>
        <v>1</v>
      </c>
      <c r="C974" s="45"/>
      <c r="D974" s="1156"/>
      <c r="E974" s="1156"/>
      <c r="F974" s="1156"/>
      <c r="G974" s="1156"/>
      <c r="H974" s="1156"/>
      <c r="I974" s="468"/>
      <c r="J974" s="76"/>
      <c r="K974" s="843"/>
      <c r="L974" s="1157"/>
      <c r="M974" s="1158"/>
      <c r="N974" s="1158"/>
      <c r="O974" s="1158"/>
    </row>
    <row r="975" spans="1:15" x14ac:dyDescent="0.2">
      <c r="A975" s="75"/>
      <c r="B975" s="52">
        <f t="shared" si="17"/>
        <v>1</v>
      </c>
      <c r="C975" s="45"/>
      <c r="D975" s="1156"/>
      <c r="E975" s="1156"/>
      <c r="F975" s="1156"/>
      <c r="G975" s="1156"/>
      <c r="H975" s="1156"/>
      <c r="I975" s="468"/>
      <c r="J975" s="76"/>
      <c r="K975" s="843"/>
      <c r="L975" s="1157"/>
      <c r="M975" s="1158"/>
      <c r="N975" s="1158"/>
      <c r="O975" s="1158"/>
    </row>
    <row r="976" spans="1:15" x14ac:dyDescent="0.2">
      <c r="A976" s="75"/>
      <c r="B976" s="52">
        <f t="shared" si="17"/>
        <v>1</v>
      </c>
      <c r="C976" s="45"/>
      <c r="D976" s="1156"/>
      <c r="E976" s="1156"/>
      <c r="F976" s="1156"/>
      <c r="G976" s="1156"/>
      <c r="H976" s="1156"/>
      <c r="I976" s="468"/>
      <c r="J976" s="76"/>
      <c r="K976" s="843"/>
      <c r="L976" s="1157"/>
      <c r="M976" s="1158"/>
      <c r="N976" s="1158"/>
      <c r="O976" s="1158"/>
    </row>
    <row r="977" spans="1:15" x14ac:dyDescent="0.2">
      <c r="A977" s="75"/>
      <c r="B977" s="52">
        <f t="shared" si="17"/>
        <v>1</v>
      </c>
      <c r="C977" s="45"/>
      <c r="D977" s="1156"/>
      <c r="E977" s="1156"/>
      <c r="F977" s="1156"/>
      <c r="G977" s="1156"/>
      <c r="H977" s="1156"/>
      <c r="I977" s="468"/>
      <c r="J977" s="76"/>
      <c r="K977" s="843"/>
      <c r="L977" s="1157"/>
      <c r="M977" s="1158"/>
      <c r="N977" s="1158"/>
      <c r="O977" s="1158"/>
    </row>
    <row r="978" spans="1:15" x14ac:dyDescent="0.2">
      <c r="A978" s="75"/>
      <c r="B978" s="52">
        <f t="shared" si="17"/>
        <v>1</v>
      </c>
      <c r="C978" s="45"/>
      <c r="D978" s="1156"/>
      <c r="E978" s="1156"/>
      <c r="F978" s="1156"/>
      <c r="G978" s="1156"/>
      <c r="H978" s="1156"/>
      <c r="I978" s="468"/>
      <c r="J978" s="76"/>
      <c r="K978" s="843"/>
      <c r="L978" s="1157"/>
      <c r="M978" s="1158"/>
      <c r="N978" s="1158"/>
      <c r="O978" s="1158"/>
    </row>
    <row r="979" spans="1:15" x14ac:dyDescent="0.2">
      <c r="A979" s="75"/>
      <c r="B979" s="52">
        <f t="shared" si="17"/>
        <v>1</v>
      </c>
      <c r="C979" s="45"/>
      <c r="D979" s="1156"/>
      <c r="E979" s="1156"/>
      <c r="F979" s="1156"/>
      <c r="G979" s="1156"/>
      <c r="H979" s="1156"/>
      <c r="I979" s="468"/>
      <c r="J979" s="76"/>
      <c r="K979" s="843"/>
      <c r="L979" s="1157"/>
      <c r="M979" s="1158"/>
      <c r="N979" s="1158"/>
      <c r="O979" s="1158"/>
    </row>
    <row r="980" spans="1:15" x14ac:dyDescent="0.2">
      <c r="A980" s="75"/>
      <c r="B980" s="52">
        <f t="shared" si="17"/>
        <v>1</v>
      </c>
      <c r="C980" s="45"/>
      <c r="D980" s="1156"/>
      <c r="E980" s="1156"/>
      <c r="F980" s="1156"/>
      <c r="G980" s="1156"/>
      <c r="H980" s="1156"/>
      <c r="I980" s="468"/>
      <c r="J980" s="76"/>
      <c r="K980" s="843"/>
      <c r="L980" s="1157"/>
      <c r="M980" s="1158"/>
      <c r="N980" s="1158"/>
      <c r="O980" s="1158"/>
    </row>
    <row r="981" spans="1:15" x14ac:dyDescent="0.2">
      <c r="A981" s="75"/>
      <c r="B981" s="52">
        <f t="shared" si="17"/>
        <v>1</v>
      </c>
      <c r="C981" s="45"/>
      <c r="D981" s="1156"/>
      <c r="E981" s="1156"/>
      <c r="F981" s="1156"/>
      <c r="G981" s="1156"/>
      <c r="H981" s="1156"/>
      <c r="I981" s="468"/>
      <c r="J981" s="76"/>
      <c r="K981" s="843"/>
      <c r="L981" s="1157"/>
      <c r="M981" s="1158"/>
      <c r="N981" s="1158"/>
      <c r="O981" s="1158"/>
    </row>
    <row r="982" spans="1:15" x14ac:dyDescent="0.2">
      <c r="A982" s="75"/>
      <c r="B982" s="52">
        <f t="shared" si="17"/>
        <v>1</v>
      </c>
      <c r="C982" s="45"/>
      <c r="D982" s="1156"/>
      <c r="E982" s="1156"/>
      <c r="F982" s="1156"/>
      <c r="G982" s="1156"/>
      <c r="H982" s="1156"/>
      <c r="I982" s="468"/>
      <c r="J982" s="76"/>
      <c r="K982" s="843"/>
      <c r="L982" s="1157"/>
      <c r="M982" s="1158"/>
      <c r="N982" s="1158"/>
      <c r="O982" s="1158"/>
    </row>
    <row r="983" spans="1:15" x14ac:dyDescent="0.2">
      <c r="A983" s="75"/>
      <c r="B983" s="52">
        <f t="shared" si="17"/>
        <v>1</v>
      </c>
      <c r="C983" s="45"/>
      <c r="D983" s="1156"/>
      <c r="E983" s="1156"/>
      <c r="F983" s="1156"/>
      <c r="G983" s="1156"/>
      <c r="H983" s="1156"/>
      <c r="I983" s="468"/>
      <c r="J983" s="76"/>
      <c r="K983" s="843"/>
      <c r="L983" s="1157"/>
      <c r="M983" s="1158"/>
      <c r="N983" s="1158"/>
      <c r="O983" s="1158"/>
    </row>
    <row r="984" spans="1:15" x14ac:dyDescent="0.2">
      <c r="A984" s="75"/>
      <c r="B984" s="52">
        <f t="shared" si="17"/>
        <v>1</v>
      </c>
      <c r="C984" s="45"/>
      <c r="D984" s="1156"/>
      <c r="E984" s="1156"/>
      <c r="F984" s="1156"/>
      <c r="G984" s="1156"/>
      <c r="H984" s="1156"/>
      <c r="I984" s="468"/>
      <c r="J984" s="76"/>
      <c r="K984" s="843"/>
      <c r="L984" s="1157"/>
      <c r="M984" s="1158"/>
      <c r="N984" s="1158"/>
      <c r="O984" s="1158"/>
    </row>
    <row r="985" spans="1:15" x14ac:dyDescent="0.2">
      <c r="A985" s="75"/>
      <c r="B985" s="52">
        <f t="shared" si="17"/>
        <v>1</v>
      </c>
      <c r="C985" s="45"/>
      <c r="D985" s="1156"/>
      <c r="E985" s="1156"/>
      <c r="F985" s="1156"/>
      <c r="G985" s="1156"/>
      <c r="H985" s="1156"/>
      <c r="I985" s="468"/>
      <c r="J985" s="76"/>
      <c r="K985" s="843"/>
      <c r="L985" s="1157"/>
      <c r="M985" s="1158"/>
      <c r="N985" s="1158"/>
      <c r="O985" s="1158"/>
    </row>
    <row r="986" spans="1:15" x14ac:dyDescent="0.2">
      <c r="A986" s="75"/>
      <c r="B986" s="52">
        <f t="shared" si="17"/>
        <v>1</v>
      </c>
      <c r="C986" s="45"/>
      <c r="D986" s="1156"/>
      <c r="E986" s="1156"/>
      <c r="F986" s="1156"/>
      <c r="G986" s="1156"/>
      <c r="H986" s="1156"/>
      <c r="I986" s="468"/>
      <c r="J986" s="76"/>
      <c r="K986" s="843"/>
      <c r="L986" s="1157"/>
      <c r="M986" s="1158"/>
      <c r="N986" s="1158"/>
      <c r="O986" s="1158"/>
    </row>
    <row r="987" spans="1:15" x14ac:dyDescent="0.2">
      <c r="A987" s="75"/>
      <c r="B987" s="52">
        <f t="shared" si="17"/>
        <v>1</v>
      </c>
      <c r="C987" s="45"/>
      <c r="D987" s="1156"/>
      <c r="E987" s="1156"/>
      <c r="F987" s="1156"/>
      <c r="G987" s="1156"/>
      <c r="H987" s="1156"/>
      <c r="I987" s="468"/>
      <c r="J987" s="76"/>
      <c r="K987" s="843"/>
      <c r="L987" s="1157"/>
      <c r="M987" s="1158"/>
      <c r="N987" s="1158"/>
      <c r="O987" s="1158"/>
    </row>
    <row r="988" spans="1:15" x14ac:dyDescent="0.2">
      <c r="A988" s="75"/>
      <c r="B988" s="52">
        <f t="shared" si="17"/>
        <v>1</v>
      </c>
      <c r="C988" s="45"/>
      <c r="D988" s="1156"/>
      <c r="E988" s="1156"/>
      <c r="F988" s="1156"/>
      <c r="G988" s="1156"/>
      <c r="H988" s="1156"/>
      <c r="I988" s="468"/>
      <c r="J988" s="76"/>
      <c r="K988" s="843"/>
      <c r="L988" s="1157"/>
      <c r="M988" s="1158"/>
      <c r="N988" s="1158"/>
      <c r="O988" s="1158"/>
    </row>
    <row r="989" spans="1:15" x14ac:dyDescent="0.2">
      <c r="A989" s="75"/>
      <c r="B989" s="52">
        <f t="shared" si="17"/>
        <v>1</v>
      </c>
      <c r="C989" s="45"/>
      <c r="D989" s="1156"/>
      <c r="E989" s="1156"/>
      <c r="F989" s="1156"/>
      <c r="G989" s="1156"/>
      <c r="H989" s="1156"/>
      <c r="I989" s="468"/>
      <c r="J989" s="76"/>
      <c r="K989" s="843"/>
      <c r="L989" s="1157"/>
      <c r="M989" s="1158"/>
      <c r="N989" s="1158"/>
      <c r="O989" s="1158"/>
    </row>
    <row r="990" spans="1:15" x14ac:dyDescent="0.2">
      <c r="A990" s="75"/>
      <c r="B990" s="52">
        <f t="shared" si="17"/>
        <v>1</v>
      </c>
      <c r="C990" s="45"/>
      <c r="D990" s="1156"/>
      <c r="E990" s="1156"/>
      <c r="F990" s="1156"/>
      <c r="G990" s="1156"/>
      <c r="H990" s="1156"/>
      <c r="I990" s="468"/>
      <c r="J990" s="76"/>
      <c r="K990" s="843"/>
      <c r="L990" s="1157"/>
      <c r="M990" s="1158"/>
      <c r="N990" s="1158"/>
      <c r="O990" s="1158"/>
    </row>
    <row r="991" spans="1:15" x14ac:dyDescent="0.2">
      <c r="A991" s="75"/>
      <c r="B991" s="52">
        <f t="shared" si="17"/>
        <v>1</v>
      </c>
      <c r="C991" s="45"/>
      <c r="D991" s="1156"/>
      <c r="E991" s="1156"/>
      <c r="F991" s="1156"/>
      <c r="G991" s="1156"/>
      <c r="H991" s="1156"/>
      <c r="I991" s="468"/>
      <c r="J991" s="76"/>
      <c r="K991" s="843"/>
      <c r="L991" s="1157"/>
      <c r="M991" s="1158"/>
      <c r="N991" s="1158"/>
      <c r="O991" s="1158"/>
    </row>
    <row r="992" spans="1:15" x14ac:dyDescent="0.2">
      <c r="A992" s="75"/>
      <c r="B992" s="52">
        <f t="shared" si="17"/>
        <v>1</v>
      </c>
      <c r="C992" s="45"/>
      <c r="D992" s="1156"/>
      <c r="E992" s="1156"/>
      <c r="F992" s="1156"/>
      <c r="G992" s="1156"/>
      <c r="H992" s="1156"/>
      <c r="I992" s="468"/>
      <c r="J992" s="76"/>
      <c r="K992" s="843"/>
      <c r="L992" s="1157"/>
      <c r="M992" s="1158"/>
      <c r="N992" s="1158"/>
      <c r="O992" s="1158"/>
    </row>
    <row r="993" spans="1:15" x14ac:dyDescent="0.2">
      <c r="A993" s="75"/>
      <c r="B993" s="52">
        <f t="shared" si="17"/>
        <v>1</v>
      </c>
      <c r="C993" s="45"/>
      <c r="D993" s="1156"/>
      <c r="E993" s="1156"/>
      <c r="F993" s="1156"/>
      <c r="G993" s="1156"/>
      <c r="H993" s="1156"/>
      <c r="I993" s="468"/>
      <c r="J993" s="76"/>
      <c r="K993" s="843"/>
      <c r="L993" s="1157"/>
      <c r="M993" s="1158"/>
      <c r="N993" s="1158"/>
      <c r="O993" s="1158"/>
    </row>
    <row r="994" spans="1:15" x14ac:dyDescent="0.2">
      <c r="A994" s="75"/>
      <c r="B994" s="52">
        <f t="shared" si="17"/>
        <v>1</v>
      </c>
      <c r="C994" s="45"/>
      <c r="D994" s="1156"/>
      <c r="E994" s="1156"/>
      <c r="F994" s="1156"/>
      <c r="G994" s="1156"/>
      <c r="H994" s="1156"/>
      <c r="I994" s="468"/>
      <c r="J994" s="76"/>
      <c r="K994" s="843"/>
      <c r="L994" s="1157"/>
      <c r="M994" s="1158"/>
      <c r="N994" s="1158"/>
      <c r="O994" s="1158"/>
    </row>
    <row r="995" spans="1:15" x14ac:dyDescent="0.2">
      <c r="A995" s="75"/>
      <c r="B995" s="52">
        <f t="shared" si="17"/>
        <v>1</v>
      </c>
      <c r="C995" s="45"/>
      <c r="D995" s="1156"/>
      <c r="E995" s="1156"/>
      <c r="F995" s="1156"/>
      <c r="G995" s="1156"/>
      <c r="H995" s="1156"/>
      <c r="I995" s="468"/>
      <c r="J995" s="76"/>
      <c r="K995" s="843"/>
      <c r="L995" s="1157"/>
      <c r="M995" s="1158"/>
      <c r="N995" s="1158"/>
      <c r="O995" s="1158"/>
    </row>
    <row r="996" spans="1:15" x14ac:dyDescent="0.2">
      <c r="A996" s="75"/>
      <c r="B996" s="52">
        <f t="shared" si="17"/>
        <v>1</v>
      </c>
      <c r="C996" s="45"/>
      <c r="D996" s="1156"/>
      <c r="E996" s="1156"/>
      <c r="F996" s="1156"/>
      <c r="G996" s="1156"/>
      <c r="H996" s="1156"/>
      <c r="I996" s="468"/>
      <c r="J996" s="76"/>
      <c r="K996" s="843"/>
      <c r="L996" s="1157"/>
      <c r="M996" s="1158"/>
      <c r="N996" s="1158"/>
      <c r="O996" s="1158"/>
    </row>
    <row r="997" spans="1:15" x14ac:dyDescent="0.2">
      <c r="A997" s="75"/>
      <c r="B997" s="52">
        <f t="shared" si="17"/>
        <v>1</v>
      </c>
      <c r="C997" s="45"/>
      <c r="D997" s="1156"/>
      <c r="E997" s="1156"/>
      <c r="F997" s="1156"/>
      <c r="G997" s="1156"/>
      <c r="H997" s="1156"/>
      <c r="I997" s="468"/>
      <c r="J997" s="76"/>
      <c r="K997" s="843"/>
      <c r="L997" s="1157"/>
      <c r="M997" s="1158"/>
      <c r="N997" s="1158"/>
      <c r="O997" s="1158"/>
    </row>
    <row r="998" spans="1:15" x14ac:dyDescent="0.2">
      <c r="A998" s="75"/>
      <c r="B998" s="52">
        <f t="shared" si="17"/>
        <v>1</v>
      </c>
      <c r="C998" s="45"/>
      <c r="D998" s="1156"/>
      <c r="E998" s="1156"/>
      <c r="F998" s="1156"/>
      <c r="G998" s="1156"/>
      <c r="H998" s="1156"/>
      <c r="I998" s="468"/>
      <c r="J998" s="76"/>
      <c r="K998" s="843"/>
      <c r="L998" s="1157"/>
      <c r="M998" s="1158"/>
      <c r="N998" s="1158"/>
      <c r="O998" s="1158"/>
    </row>
    <row r="999" spans="1:15" x14ac:dyDescent="0.2">
      <c r="A999" s="75"/>
      <c r="B999" s="52">
        <f t="shared" si="17"/>
        <v>1</v>
      </c>
      <c r="C999" s="45"/>
      <c r="D999" s="1156"/>
      <c r="E999" s="1156"/>
      <c r="F999" s="1156"/>
      <c r="G999" s="1156"/>
      <c r="H999" s="1156"/>
      <c r="I999" s="468"/>
      <c r="J999" s="76"/>
      <c r="K999" s="843"/>
      <c r="L999" s="1157"/>
      <c r="M999" s="1158"/>
      <c r="N999" s="1158"/>
      <c r="O999" s="1158"/>
    </row>
    <row r="1000" spans="1:15" x14ac:dyDescent="0.2">
      <c r="A1000" s="75"/>
      <c r="B1000" s="52">
        <f t="shared" si="17"/>
        <v>1</v>
      </c>
      <c r="C1000" s="45"/>
      <c r="D1000" s="1156"/>
      <c r="E1000" s="1156"/>
      <c r="F1000" s="1156"/>
      <c r="G1000" s="1156"/>
      <c r="H1000" s="1156"/>
      <c r="I1000" s="468"/>
      <c r="J1000" s="76"/>
      <c r="K1000" s="843"/>
      <c r="L1000" s="1157"/>
      <c r="M1000" s="1158"/>
      <c r="N1000" s="1158"/>
      <c r="O1000" s="1158"/>
    </row>
    <row r="1001" spans="1:15" x14ac:dyDescent="0.2">
      <c r="A1001" s="75"/>
      <c r="B1001" s="52">
        <f t="shared" si="17"/>
        <v>1</v>
      </c>
      <c r="C1001" s="45"/>
      <c r="D1001" s="1156"/>
      <c r="E1001" s="1156"/>
      <c r="F1001" s="1156"/>
      <c r="G1001" s="1156"/>
      <c r="H1001" s="1156"/>
      <c r="I1001" s="468"/>
      <c r="J1001" s="76"/>
      <c r="K1001" s="843"/>
      <c r="L1001" s="1157"/>
      <c r="M1001" s="1158"/>
      <c r="N1001" s="1158"/>
      <c r="O1001" s="1158"/>
    </row>
    <row r="1002" spans="1:15" x14ac:dyDescent="0.2">
      <c r="A1002" s="75"/>
      <c r="B1002" s="52">
        <f t="shared" si="17"/>
        <v>1</v>
      </c>
      <c r="C1002" s="45"/>
      <c r="D1002" s="1156"/>
      <c r="E1002" s="1156"/>
      <c r="F1002" s="1156"/>
      <c r="G1002" s="1156"/>
      <c r="H1002" s="1156"/>
      <c r="I1002" s="468"/>
      <c r="J1002" s="76"/>
      <c r="K1002" s="843"/>
      <c r="L1002" s="1157"/>
      <c r="M1002" s="1158"/>
      <c r="N1002" s="1158"/>
      <c r="O1002" s="1158"/>
    </row>
    <row r="1003" spans="1:15" x14ac:dyDescent="0.2">
      <c r="A1003" s="75"/>
      <c r="B1003" s="52">
        <f t="shared" si="17"/>
        <v>1</v>
      </c>
      <c r="C1003" s="45"/>
      <c r="D1003" s="1156"/>
      <c r="E1003" s="1156"/>
      <c r="F1003" s="1156"/>
      <c r="G1003" s="1156"/>
      <c r="H1003" s="1156"/>
      <c r="I1003" s="468"/>
      <c r="J1003" s="76"/>
      <c r="K1003" s="843"/>
      <c r="L1003" s="1157"/>
      <c r="M1003" s="1158"/>
      <c r="N1003" s="1158"/>
      <c r="O1003" s="1158"/>
    </row>
    <row r="1004" spans="1:15" x14ac:dyDescent="0.2">
      <c r="A1004" s="75"/>
      <c r="B1004" s="52">
        <f t="shared" si="17"/>
        <v>1</v>
      </c>
      <c r="C1004" s="45"/>
      <c r="D1004" s="1156"/>
      <c r="E1004" s="1156"/>
      <c r="F1004" s="1156"/>
      <c r="G1004" s="1156"/>
      <c r="H1004" s="1156"/>
      <c r="I1004" s="468"/>
      <c r="J1004" s="76"/>
      <c r="K1004" s="843"/>
      <c r="L1004" s="1157"/>
      <c r="M1004" s="1158"/>
      <c r="N1004" s="1158"/>
      <c r="O1004" s="1158"/>
    </row>
    <row r="1005" spans="1:15" x14ac:dyDescent="0.2">
      <c r="A1005" s="75"/>
      <c r="B1005" s="52">
        <f t="shared" si="17"/>
        <v>1</v>
      </c>
      <c r="C1005" s="45"/>
      <c r="D1005" s="1156"/>
      <c r="E1005" s="1156"/>
      <c r="F1005" s="1156"/>
      <c r="G1005" s="1156"/>
      <c r="H1005" s="1156"/>
      <c r="I1005" s="468"/>
      <c r="J1005" s="76"/>
      <c r="K1005" s="843"/>
      <c r="L1005" s="1157"/>
      <c r="M1005" s="1158"/>
      <c r="N1005" s="1158"/>
      <c r="O1005" s="1158"/>
    </row>
    <row r="1006" spans="1:15" x14ac:dyDescent="0.2">
      <c r="A1006" s="75"/>
      <c r="B1006" s="52">
        <f t="shared" si="17"/>
        <v>1</v>
      </c>
      <c r="C1006" s="45"/>
      <c r="D1006" s="1156"/>
      <c r="E1006" s="1156"/>
      <c r="F1006" s="1156"/>
      <c r="G1006" s="1156"/>
      <c r="H1006" s="1156"/>
      <c r="I1006" s="468"/>
      <c r="J1006" s="76"/>
      <c r="K1006" s="843"/>
      <c r="L1006" s="1157"/>
      <c r="M1006" s="1158"/>
      <c r="N1006" s="1158"/>
      <c r="O1006" s="1158"/>
    </row>
    <row r="1007" spans="1:15" x14ac:dyDescent="0.2">
      <c r="A1007" s="75"/>
      <c r="B1007" s="52">
        <f t="shared" si="17"/>
        <v>1</v>
      </c>
      <c r="C1007" s="45"/>
      <c r="D1007" s="1156"/>
      <c r="E1007" s="1156"/>
      <c r="F1007" s="1156"/>
      <c r="G1007" s="1156"/>
      <c r="H1007" s="1156"/>
      <c r="I1007" s="468"/>
      <c r="J1007" s="76"/>
      <c r="K1007" s="843"/>
      <c r="L1007" s="1157"/>
      <c r="M1007" s="1158"/>
      <c r="N1007" s="1158"/>
      <c r="O1007" s="1158"/>
    </row>
    <row r="1008" spans="1:15" x14ac:dyDescent="0.2">
      <c r="A1008" s="75"/>
      <c r="B1008" s="52">
        <f t="shared" si="17"/>
        <v>1</v>
      </c>
      <c r="C1008" s="45"/>
      <c r="D1008" s="1156"/>
      <c r="E1008" s="1156"/>
      <c r="F1008" s="1156"/>
      <c r="G1008" s="1156"/>
      <c r="H1008" s="1156"/>
      <c r="I1008" s="468"/>
      <c r="J1008" s="76"/>
      <c r="K1008" s="843"/>
      <c r="L1008" s="1157"/>
      <c r="M1008" s="1158"/>
      <c r="N1008" s="1158"/>
      <c r="O1008" s="1158"/>
    </row>
    <row r="1009" spans="1:15" x14ac:dyDescent="0.2">
      <c r="A1009" s="75"/>
      <c r="B1009" s="52">
        <f t="shared" si="17"/>
        <v>1</v>
      </c>
      <c r="C1009" s="45"/>
      <c r="D1009" s="1156"/>
      <c r="E1009" s="1156"/>
      <c r="F1009" s="1156"/>
      <c r="G1009" s="1156"/>
      <c r="H1009" s="1156"/>
      <c r="I1009" s="468"/>
      <c r="J1009" s="76"/>
      <c r="K1009" s="843"/>
      <c r="L1009" s="1157"/>
      <c r="M1009" s="1158"/>
      <c r="N1009" s="1158"/>
      <c r="O1009" s="1158"/>
    </row>
    <row r="1010" spans="1:15" x14ac:dyDescent="0.2">
      <c r="A1010" s="75"/>
      <c r="B1010" s="52">
        <f t="shared" si="17"/>
        <v>1</v>
      </c>
      <c r="C1010" s="45"/>
      <c r="D1010" s="1156"/>
      <c r="E1010" s="1156"/>
      <c r="F1010" s="1156"/>
      <c r="G1010" s="1156"/>
      <c r="H1010" s="1156"/>
      <c r="I1010" s="468"/>
      <c r="J1010" s="76"/>
      <c r="K1010" s="843"/>
      <c r="L1010" s="1157"/>
      <c r="M1010" s="1158"/>
      <c r="N1010" s="1158"/>
      <c r="O1010" s="1158"/>
    </row>
    <row r="1011" spans="1:15" x14ac:dyDescent="0.2">
      <c r="A1011" s="75"/>
      <c r="B1011" s="52">
        <f t="shared" si="17"/>
        <v>1</v>
      </c>
      <c r="C1011" s="45"/>
      <c r="D1011" s="1156"/>
      <c r="E1011" s="1156"/>
      <c r="F1011" s="1156"/>
      <c r="G1011" s="1156"/>
      <c r="H1011" s="1156"/>
      <c r="I1011" s="468"/>
      <c r="J1011" s="76"/>
      <c r="K1011" s="843"/>
      <c r="L1011" s="1157"/>
      <c r="M1011" s="1158"/>
      <c r="N1011" s="1158"/>
      <c r="O1011" s="1158"/>
    </row>
    <row r="1012" spans="1:15" x14ac:dyDescent="0.2">
      <c r="A1012" s="75"/>
      <c r="B1012" s="52">
        <f t="shared" si="17"/>
        <v>1</v>
      </c>
      <c r="C1012" s="45"/>
      <c r="D1012" s="1156"/>
      <c r="E1012" s="1156"/>
      <c r="F1012" s="1156"/>
      <c r="G1012" s="1156"/>
      <c r="H1012" s="1156"/>
      <c r="I1012" s="468"/>
      <c r="J1012" s="76"/>
      <c r="K1012" s="843"/>
      <c r="L1012" s="1157"/>
      <c r="M1012" s="1158"/>
      <c r="N1012" s="1158"/>
      <c r="O1012" s="1158"/>
    </row>
    <row r="1013" spans="1:15" x14ac:dyDescent="0.2">
      <c r="A1013" s="77"/>
      <c r="B1013" s="53">
        <f t="shared" si="17"/>
        <v>1</v>
      </c>
      <c r="C1013" s="469"/>
      <c r="D1013" s="1159"/>
      <c r="E1013" s="1159"/>
      <c r="F1013" s="1159"/>
      <c r="G1013" s="1159"/>
      <c r="H1013" s="1159"/>
      <c r="I1013" s="468"/>
      <c r="J1013" s="78"/>
      <c r="K1013" s="843"/>
      <c r="L1013" s="1157"/>
      <c r="M1013" s="1158"/>
      <c r="N1013" s="1158"/>
      <c r="O1013" s="1158"/>
    </row>
  </sheetData>
  <sheetProtection password="CC6F" sheet="1" objects="1" scenarios="1" formatColumns="0" selectLockedCells="1"/>
  <sortState xmlns:xlrd2="http://schemas.microsoft.com/office/spreadsheetml/2017/richdata2" ref="W3:W27">
    <sortCondition ref="W2"/>
  </sortState>
  <mergeCells count="2015">
    <mergeCell ref="D12:H12"/>
    <mergeCell ref="L12:O12"/>
    <mergeCell ref="D13:H13"/>
    <mergeCell ref="L13:O13"/>
    <mergeCell ref="D28:H28"/>
    <mergeCell ref="L28:O28"/>
    <mergeCell ref="D29:H29"/>
    <mergeCell ref="L29:O29"/>
    <mergeCell ref="D26:H26"/>
    <mergeCell ref="L26:O26"/>
    <mergeCell ref="D27:H27"/>
    <mergeCell ref="L27:O27"/>
    <mergeCell ref="D24:H24"/>
    <mergeCell ref="L24:O24"/>
    <mergeCell ref="D25:H25"/>
    <mergeCell ref="A10:C11"/>
    <mergeCell ref="D3:E3"/>
    <mergeCell ref="D5:E5"/>
    <mergeCell ref="D6:E6"/>
    <mergeCell ref="L25:O25"/>
    <mergeCell ref="D22:H22"/>
    <mergeCell ref="L22:O22"/>
    <mergeCell ref="D23:H23"/>
    <mergeCell ref="L23:O23"/>
    <mergeCell ref="D20:H20"/>
    <mergeCell ref="L20:O20"/>
    <mergeCell ref="D21:H21"/>
    <mergeCell ref="L21:O21"/>
    <mergeCell ref="D18:H18"/>
    <mergeCell ref="L18:O18"/>
    <mergeCell ref="D19:H19"/>
    <mergeCell ref="L19:O19"/>
    <mergeCell ref="D40:H40"/>
    <mergeCell ref="L40:O40"/>
    <mergeCell ref="D41:H41"/>
    <mergeCell ref="L41:O41"/>
    <mergeCell ref="D38:H38"/>
    <mergeCell ref="L38:O38"/>
    <mergeCell ref="D16:H16"/>
    <mergeCell ref="L16:O16"/>
    <mergeCell ref="D17:H17"/>
    <mergeCell ref="L17:O17"/>
    <mergeCell ref="D14:H14"/>
    <mergeCell ref="L14:O14"/>
    <mergeCell ref="D15:H15"/>
    <mergeCell ref="L15:O15"/>
    <mergeCell ref="D39:H39"/>
    <mergeCell ref="L39:O39"/>
    <mergeCell ref="D36:H36"/>
    <mergeCell ref="L36:O36"/>
    <mergeCell ref="D37:H37"/>
    <mergeCell ref="L37:O37"/>
    <mergeCell ref="D34:H34"/>
    <mergeCell ref="L34:O34"/>
    <mergeCell ref="D35:H35"/>
    <mergeCell ref="L35:O35"/>
    <mergeCell ref="D32:H32"/>
    <mergeCell ref="L32:O32"/>
    <mergeCell ref="D33:H33"/>
    <mergeCell ref="L33:O33"/>
    <mergeCell ref="D30:H30"/>
    <mergeCell ref="L30:O30"/>
    <mergeCell ref="D31:H31"/>
    <mergeCell ref="L31:O31"/>
    <mergeCell ref="D50:H50"/>
    <mergeCell ref="L50:O50"/>
    <mergeCell ref="D51:H51"/>
    <mergeCell ref="L51:O51"/>
    <mergeCell ref="D48:H48"/>
    <mergeCell ref="L48:O48"/>
    <mergeCell ref="D49:H49"/>
    <mergeCell ref="L49:O49"/>
    <mergeCell ref="D46:H46"/>
    <mergeCell ref="L46:O46"/>
    <mergeCell ref="D47:H47"/>
    <mergeCell ref="L47:O47"/>
    <mergeCell ref="D44:H44"/>
    <mergeCell ref="L44:O44"/>
    <mergeCell ref="D45:H45"/>
    <mergeCell ref="L45:O45"/>
    <mergeCell ref="D42:H42"/>
    <mergeCell ref="L42:O42"/>
    <mergeCell ref="D43:H43"/>
    <mergeCell ref="L43:O43"/>
    <mergeCell ref="D60:H60"/>
    <mergeCell ref="L60:O60"/>
    <mergeCell ref="D61:H61"/>
    <mergeCell ref="L61:O61"/>
    <mergeCell ref="D58:H58"/>
    <mergeCell ref="L58:O58"/>
    <mergeCell ref="D59:H59"/>
    <mergeCell ref="L59:O59"/>
    <mergeCell ref="D56:H56"/>
    <mergeCell ref="L56:O56"/>
    <mergeCell ref="D57:H57"/>
    <mergeCell ref="L57:O57"/>
    <mergeCell ref="D54:H54"/>
    <mergeCell ref="L54:O54"/>
    <mergeCell ref="D55:H55"/>
    <mergeCell ref="L55:O55"/>
    <mergeCell ref="D52:H52"/>
    <mergeCell ref="L52:O52"/>
    <mergeCell ref="D53:H53"/>
    <mergeCell ref="L53:O53"/>
    <mergeCell ref="D70:H70"/>
    <mergeCell ref="L70:O70"/>
    <mergeCell ref="D71:H71"/>
    <mergeCell ref="L71:O71"/>
    <mergeCell ref="D68:H68"/>
    <mergeCell ref="L68:O68"/>
    <mergeCell ref="D69:H69"/>
    <mergeCell ref="L69:O69"/>
    <mergeCell ref="D66:H66"/>
    <mergeCell ref="L66:O66"/>
    <mergeCell ref="D67:H67"/>
    <mergeCell ref="L67:O67"/>
    <mergeCell ref="D64:H64"/>
    <mergeCell ref="L64:O64"/>
    <mergeCell ref="D65:H65"/>
    <mergeCell ref="L65:O65"/>
    <mergeCell ref="D62:H62"/>
    <mergeCell ref="L62:O62"/>
    <mergeCell ref="D63:H63"/>
    <mergeCell ref="L63:O63"/>
    <mergeCell ref="D80:H80"/>
    <mergeCell ref="L80:O80"/>
    <mergeCell ref="D81:H81"/>
    <mergeCell ref="L81:O81"/>
    <mergeCell ref="D78:H78"/>
    <mergeCell ref="L78:O78"/>
    <mergeCell ref="D79:H79"/>
    <mergeCell ref="L79:O79"/>
    <mergeCell ref="D76:H76"/>
    <mergeCell ref="L76:O76"/>
    <mergeCell ref="D77:H77"/>
    <mergeCell ref="L77:O77"/>
    <mergeCell ref="D74:H74"/>
    <mergeCell ref="L74:O74"/>
    <mergeCell ref="D75:H75"/>
    <mergeCell ref="L75:O75"/>
    <mergeCell ref="D72:H72"/>
    <mergeCell ref="L72:O72"/>
    <mergeCell ref="D73:H73"/>
    <mergeCell ref="L73:O73"/>
    <mergeCell ref="D90:H90"/>
    <mergeCell ref="L90:O90"/>
    <mergeCell ref="D91:H91"/>
    <mergeCell ref="L91:O91"/>
    <mergeCell ref="D88:H88"/>
    <mergeCell ref="L88:O88"/>
    <mergeCell ref="D89:H89"/>
    <mergeCell ref="L89:O89"/>
    <mergeCell ref="D86:H86"/>
    <mergeCell ref="L86:O86"/>
    <mergeCell ref="D87:H87"/>
    <mergeCell ref="L87:O87"/>
    <mergeCell ref="D84:H84"/>
    <mergeCell ref="L84:O84"/>
    <mergeCell ref="D85:H85"/>
    <mergeCell ref="L85:O85"/>
    <mergeCell ref="D82:H82"/>
    <mergeCell ref="L82:O82"/>
    <mergeCell ref="D83:H83"/>
    <mergeCell ref="L83:O83"/>
    <mergeCell ref="D100:H100"/>
    <mergeCell ref="L100:O100"/>
    <mergeCell ref="D101:H101"/>
    <mergeCell ref="L101:O101"/>
    <mergeCell ref="D98:H98"/>
    <mergeCell ref="L98:O98"/>
    <mergeCell ref="D99:H99"/>
    <mergeCell ref="L99:O99"/>
    <mergeCell ref="D96:H96"/>
    <mergeCell ref="L96:O96"/>
    <mergeCell ref="D97:H97"/>
    <mergeCell ref="L97:O97"/>
    <mergeCell ref="D94:H94"/>
    <mergeCell ref="L94:O94"/>
    <mergeCell ref="D95:H95"/>
    <mergeCell ref="L95:O95"/>
    <mergeCell ref="D92:H92"/>
    <mergeCell ref="L92:O92"/>
    <mergeCell ref="D93:H93"/>
    <mergeCell ref="L93:O93"/>
    <mergeCell ref="D110:H110"/>
    <mergeCell ref="L110:O110"/>
    <mergeCell ref="D111:H111"/>
    <mergeCell ref="L111:O111"/>
    <mergeCell ref="D108:H108"/>
    <mergeCell ref="L108:O108"/>
    <mergeCell ref="D109:H109"/>
    <mergeCell ref="L109:O109"/>
    <mergeCell ref="D106:H106"/>
    <mergeCell ref="L106:O106"/>
    <mergeCell ref="D107:H107"/>
    <mergeCell ref="L107:O107"/>
    <mergeCell ref="D104:H104"/>
    <mergeCell ref="L104:O104"/>
    <mergeCell ref="D105:H105"/>
    <mergeCell ref="L105:O105"/>
    <mergeCell ref="D102:H102"/>
    <mergeCell ref="L102:O102"/>
    <mergeCell ref="D103:H103"/>
    <mergeCell ref="L103:O103"/>
    <mergeCell ref="D120:H120"/>
    <mergeCell ref="L120:O120"/>
    <mergeCell ref="D121:H121"/>
    <mergeCell ref="L121:O121"/>
    <mergeCell ref="D118:H118"/>
    <mergeCell ref="L118:O118"/>
    <mergeCell ref="D119:H119"/>
    <mergeCell ref="L119:O119"/>
    <mergeCell ref="D116:H116"/>
    <mergeCell ref="L116:O116"/>
    <mergeCell ref="D117:H117"/>
    <mergeCell ref="L117:O117"/>
    <mergeCell ref="D114:H114"/>
    <mergeCell ref="L114:O114"/>
    <mergeCell ref="D115:H115"/>
    <mergeCell ref="L115:O115"/>
    <mergeCell ref="D112:H112"/>
    <mergeCell ref="L112:O112"/>
    <mergeCell ref="D113:H113"/>
    <mergeCell ref="L113:O113"/>
    <mergeCell ref="D130:H130"/>
    <mergeCell ref="L130:O130"/>
    <mergeCell ref="D131:H131"/>
    <mergeCell ref="L131:O131"/>
    <mergeCell ref="D128:H128"/>
    <mergeCell ref="L128:O128"/>
    <mergeCell ref="D129:H129"/>
    <mergeCell ref="L129:O129"/>
    <mergeCell ref="D126:H126"/>
    <mergeCell ref="L126:O126"/>
    <mergeCell ref="D127:H127"/>
    <mergeCell ref="L127:O127"/>
    <mergeCell ref="D124:H124"/>
    <mergeCell ref="L124:O124"/>
    <mergeCell ref="D125:H125"/>
    <mergeCell ref="L125:O125"/>
    <mergeCell ref="D122:H122"/>
    <mergeCell ref="L122:O122"/>
    <mergeCell ref="D123:H123"/>
    <mergeCell ref="L123:O123"/>
    <mergeCell ref="D140:H140"/>
    <mergeCell ref="L140:O140"/>
    <mergeCell ref="D141:H141"/>
    <mergeCell ref="L141:O141"/>
    <mergeCell ref="D138:H138"/>
    <mergeCell ref="L138:O138"/>
    <mergeCell ref="D139:H139"/>
    <mergeCell ref="L139:O139"/>
    <mergeCell ref="D136:H136"/>
    <mergeCell ref="L136:O136"/>
    <mergeCell ref="D137:H137"/>
    <mergeCell ref="L137:O137"/>
    <mergeCell ref="D134:H134"/>
    <mergeCell ref="L134:O134"/>
    <mergeCell ref="D135:H135"/>
    <mergeCell ref="L135:O135"/>
    <mergeCell ref="D132:H132"/>
    <mergeCell ref="L132:O132"/>
    <mergeCell ref="D133:H133"/>
    <mergeCell ref="L133:O133"/>
    <mergeCell ref="D150:H150"/>
    <mergeCell ref="L150:O150"/>
    <mergeCell ref="D151:H151"/>
    <mergeCell ref="L151:O151"/>
    <mergeCell ref="D148:H148"/>
    <mergeCell ref="L148:O148"/>
    <mergeCell ref="D149:H149"/>
    <mergeCell ref="L149:O149"/>
    <mergeCell ref="D146:H146"/>
    <mergeCell ref="L146:O146"/>
    <mergeCell ref="D147:H147"/>
    <mergeCell ref="L147:O147"/>
    <mergeCell ref="D144:H144"/>
    <mergeCell ref="L144:O144"/>
    <mergeCell ref="D145:H145"/>
    <mergeCell ref="L145:O145"/>
    <mergeCell ref="D142:H142"/>
    <mergeCell ref="L142:O142"/>
    <mergeCell ref="D143:H143"/>
    <mergeCell ref="L143:O143"/>
    <mergeCell ref="D160:H160"/>
    <mergeCell ref="L160:O160"/>
    <mergeCell ref="D161:H161"/>
    <mergeCell ref="L161:O161"/>
    <mergeCell ref="D158:H158"/>
    <mergeCell ref="L158:O158"/>
    <mergeCell ref="D159:H159"/>
    <mergeCell ref="L159:O159"/>
    <mergeCell ref="D156:H156"/>
    <mergeCell ref="L156:O156"/>
    <mergeCell ref="D157:H157"/>
    <mergeCell ref="L157:O157"/>
    <mergeCell ref="D154:H154"/>
    <mergeCell ref="L154:O154"/>
    <mergeCell ref="D155:H155"/>
    <mergeCell ref="L155:O155"/>
    <mergeCell ref="D152:H152"/>
    <mergeCell ref="L152:O152"/>
    <mergeCell ref="D153:H153"/>
    <mergeCell ref="L153:O153"/>
    <mergeCell ref="D170:H170"/>
    <mergeCell ref="L170:O170"/>
    <mergeCell ref="D171:H171"/>
    <mergeCell ref="L171:O171"/>
    <mergeCell ref="D168:H168"/>
    <mergeCell ref="L168:O168"/>
    <mergeCell ref="D169:H169"/>
    <mergeCell ref="L169:O169"/>
    <mergeCell ref="D166:H166"/>
    <mergeCell ref="L166:O166"/>
    <mergeCell ref="D167:H167"/>
    <mergeCell ref="L167:O167"/>
    <mergeCell ref="D164:H164"/>
    <mergeCell ref="L164:O164"/>
    <mergeCell ref="D165:H165"/>
    <mergeCell ref="L165:O165"/>
    <mergeCell ref="D162:H162"/>
    <mergeCell ref="L162:O162"/>
    <mergeCell ref="D163:H163"/>
    <mergeCell ref="L163:O163"/>
    <mergeCell ref="D180:H180"/>
    <mergeCell ref="L180:O180"/>
    <mergeCell ref="D181:H181"/>
    <mergeCell ref="L181:O181"/>
    <mergeCell ref="D178:H178"/>
    <mergeCell ref="L178:O178"/>
    <mergeCell ref="D179:H179"/>
    <mergeCell ref="L179:O179"/>
    <mergeCell ref="D176:H176"/>
    <mergeCell ref="L176:O176"/>
    <mergeCell ref="D177:H177"/>
    <mergeCell ref="L177:O177"/>
    <mergeCell ref="D174:H174"/>
    <mergeCell ref="L174:O174"/>
    <mergeCell ref="D175:H175"/>
    <mergeCell ref="L175:O175"/>
    <mergeCell ref="D172:H172"/>
    <mergeCell ref="L172:O172"/>
    <mergeCell ref="D173:H173"/>
    <mergeCell ref="L173:O173"/>
    <mergeCell ref="D190:H190"/>
    <mergeCell ref="L190:O190"/>
    <mergeCell ref="D191:H191"/>
    <mergeCell ref="L191:O191"/>
    <mergeCell ref="D188:H188"/>
    <mergeCell ref="L188:O188"/>
    <mergeCell ref="D189:H189"/>
    <mergeCell ref="L189:O189"/>
    <mergeCell ref="D186:H186"/>
    <mergeCell ref="L186:O186"/>
    <mergeCell ref="D187:H187"/>
    <mergeCell ref="L187:O187"/>
    <mergeCell ref="D184:H184"/>
    <mergeCell ref="L184:O184"/>
    <mergeCell ref="D185:H185"/>
    <mergeCell ref="L185:O185"/>
    <mergeCell ref="D182:H182"/>
    <mergeCell ref="L182:O182"/>
    <mergeCell ref="D183:H183"/>
    <mergeCell ref="L183:O183"/>
    <mergeCell ref="D200:H200"/>
    <mergeCell ref="L200:O200"/>
    <mergeCell ref="D201:H201"/>
    <mergeCell ref="L201:O201"/>
    <mergeCell ref="D198:H198"/>
    <mergeCell ref="L198:O198"/>
    <mergeCell ref="D199:H199"/>
    <mergeCell ref="L199:O199"/>
    <mergeCell ref="D196:H196"/>
    <mergeCell ref="L196:O196"/>
    <mergeCell ref="D197:H197"/>
    <mergeCell ref="L197:O197"/>
    <mergeCell ref="D194:H194"/>
    <mergeCell ref="L194:O194"/>
    <mergeCell ref="D195:H195"/>
    <mergeCell ref="L195:O195"/>
    <mergeCell ref="D192:H192"/>
    <mergeCell ref="L192:O192"/>
    <mergeCell ref="D193:H193"/>
    <mergeCell ref="L193:O193"/>
    <mergeCell ref="D210:H210"/>
    <mergeCell ref="L210:O210"/>
    <mergeCell ref="D211:H211"/>
    <mergeCell ref="L211:O211"/>
    <mergeCell ref="D208:H208"/>
    <mergeCell ref="L208:O208"/>
    <mergeCell ref="D209:H209"/>
    <mergeCell ref="L209:O209"/>
    <mergeCell ref="D206:H206"/>
    <mergeCell ref="L206:O206"/>
    <mergeCell ref="D207:H207"/>
    <mergeCell ref="L207:O207"/>
    <mergeCell ref="D204:H204"/>
    <mergeCell ref="L204:O204"/>
    <mergeCell ref="D205:H205"/>
    <mergeCell ref="L205:O205"/>
    <mergeCell ref="D202:H202"/>
    <mergeCell ref="L202:O202"/>
    <mergeCell ref="D203:H203"/>
    <mergeCell ref="L203:O203"/>
    <mergeCell ref="D220:H220"/>
    <mergeCell ref="L220:O220"/>
    <mergeCell ref="D221:H221"/>
    <mergeCell ref="L221:O221"/>
    <mergeCell ref="D218:H218"/>
    <mergeCell ref="L218:O218"/>
    <mergeCell ref="D219:H219"/>
    <mergeCell ref="L219:O219"/>
    <mergeCell ref="D216:H216"/>
    <mergeCell ref="L216:O216"/>
    <mergeCell ref="D217:H217"/>
    <mergeCell ref="L217:O217"/>
    <mergeCell ref="D214:H214"/>
    <mergeCell ref="L214:O214"/>
    <mergeCell ref="D215:H215"/>
    <mergeCell ref="L215:O215"/>
    <mergeCell ref="D212:H212"/>
    <mergeCell ref="L212:O212"/>
    <mergeCell ref="D213:H213"/>
    <mergeCell ref="L213:O213"/>
    <mergeCell ref="D230:H230"/>
    <mergeCell ref="L230:O230"/>
    <mergeCell ref="D231:H231"/>
    <mergeCell ref="L231:O231"/>
    <mergeCell ref="D228:H228"/>
    <mergeCell ref="L228:O228"/>
    <mergeCell ref="D229:H229"/>
    <mergeCell ref="L229:O229"/>
    <mergeCell ref="D226:H226"/>
    <mergeCell ref="L226:O226"/>
    <mergeCell ref="D227:H227"/>
    <mergeCell ref="L227:O227"/>
    <mergeCell ref="D224:H224"/>
    <mergeCell ref="L224:O224"/>
    <mergeCell ref="D225:H225"/>
    <mergeCell ref="L225:O225"/>
    <mergeCell ref="D222:H222"/>
    <mergeCell ref="L222:O222"/>
    <mergeCell ref="D223:H223"/>
    <mergeCell ref="L223:O223"/>
    <mergeCell ref="D240:H240"/>
    <mergeCell ref="L240:O240"/>
    <mergeCell ref="D241:H241"/>
    <mergeCell ref="L241:O241"/>
    <mergeCell ref="D238:H238"/>
    <mergeCell ref="L238:O238"/>
    <mergeCell ref="D239:H239"/>
    <mergeCell ref="L239:O239"/>
    <mergeCell ref="D236:H236"/>
    <mergeCell ref="L236:O236"/>
    <mergeCell ref="D237:H237"/>
    <mergeCell ref="L237:O237"/>
    <mergeCell ref="D234:H234"/>
    <mergeCell ref="L234:O234"/>
    <mergeCell ref="D235:H235"/>
    <mergeCell ref="L235:O235"/>
    <mergeCell ref="D232:H232"/>
    <mergeCell ref="L232:O232"/>
    <mergeCell ref="D233:H233"/>
    <mergeCell ref="L233:O233"/>
    <mergeCell ref="D250:H250"/>
    <mergeCell ref="L250:O250"/>
    <mergeCell ref="D251:H251"/>
    <mergeCell ref="L251:O251"/>
    <mergeCell ref="D248:H248"/>
    <mergeCell ref="L248:O248"/>
    <mergeCell ref="D249:H249"/>
    <mergeCell ref="L249:O249"/>
    <mergeCell ref="D246:H246"/>
    <mergeCell ref="L246:O246"/>
    <mergeCell ref="D247:H247"/>
    <mergeCell ref="L247:O247"/>
    <mergeCell ref="D244:H244"/>
    <mergeCell ref="L244:O244"/>
    <mergeCell ref="D245:H245"/>
    <mergeCell ref="L245:O245"/>
    <mergeCell ref="D242:H242"/>
    <mergeCell ref="L242:O242"/>
    <mergeCell ref="D243:H243"/>
    <mergeCell ref="L243:O243"/>
    <mergeCell ref="D260:H260"/>
    <mergeCell ref="L260:O260"/>
    <mergeCell ref="D261:H261"/>
    <mergeCell ref="L261:O261"/>
    <mergeCell ref="D258:H258"/>
    <mergeCell ref="L258:O258"/>
    <mergeCell ref="D259:H259"/>
    <mergeCell ref="L259:O259"/>
    <mergeCell ref="D256:H256"/>
    <mergeCell ref="L256:O256"/>
    <mergeCell ref="D257:H257"/>
    <mergeCell ref="L257:O257"/>
    <mergeCell ref="D254:H254"/>
    <mergeCell ref="L254:O254"/>
    <mergeCell ref="D255:H255"/>
    <mergeCell ref="L255:O255"/>
    <mergeCell ref="D252:H252"/>
    <mergeCell ref="L252:O252"/>
    <mergeCell ref="D253:H253"/>
    <mergeCell ref="L253:O253"/>
    <mergeCell ref="D270:H270"/>
    <mergeCell ref="L270:O270"/>
    <mergeCell ref="D271:H271"/>
    <mergeCell ref="L271:O271"/>
    <mergeCell ref="D268:H268"/>
    <mergeCell ref="L268:O268"/>
    <mergeCell ref="D269:H269"/>
    <mergeCell ref="L269:O269"/>
    <mergeCell ref="D266:H266"/>
    <mergeCell ref="L266:O266"/>
    <mergeCell ref="D267:H267"/>
    <mergeCell ref="L267:O267"/>
    <mergeCell ref="D264:H264"/>
    <mergeCell ref="L264:O264"/>
    <mergeCell ref="D265:H265"/>
    <mergeCell ref="L265:O265"/>
    <mergeCell ref="D262:H262"/>
    <mergeCell ref="L262:O262"/>
    <mergeCell ref="D263:H263"/>
    <mergeCell ref="L263:O263"/>
    <mergeCell ref="D280:H280"/>
    <mergeCell ref="L280:O280"/>
    <mergeCell ref="D281:H281"/>
    <mergeCell ref="L281:O281"/>
    <mergeCell ref="D278:H278"/>
    <mergeCell ref="L278:O278"/>
    <mergeCell ref="D279:H279"/>
    <mergeCell ref="L279:O279"/>
    <mergeCell ref="D276:H276"/>
    <mergeCell ref="L276:O276"/>
    <mergeCell ref="D277:H277"/>
    <mergeCell ref="L277:O277"/>
    <mergeCell ref="D274:H274"/>
    <mergeCell ref="L274:O274"/>
    <mergeCell ref="D275:H275"/>
    <mergeCell ref="L275:O275"/>
    <mergeCell ref="D272:H272"/>
    <mergeCell ref="L272:O272"/>
    <mergeCell ref="D273:H273"/>
    <mergeCell ref="L273:O273"/>
    <mergeCell ref="D290:H290"/>
    <mergeCell ref="L290:O290"/>
    <mergeCell ref="D291:H291"/>
    <mergeCell ref="L291:O291"/>
    <mergeCell ref="D288:H288"/>
    <mergeCell ref="L288:O288"/>
    <mergeCell ref="D289:H289"/>
    <mergeCell ref="L289:O289"/>
    <mergeCell ref="D286:H286"/>
    <mergeCell ref="L286:O286"/>
    <mergeCell ref="D287:H287"/>
    <mergeCell ref="L287:O287"/>
    <mergeCell ref="D284:H284"/>
    <mergeCell ref="L284:O284"/>
    <mergeCell ref="D285:H285"/>
    <mergeCell ref="L285:O285"/>
    <mergeCell ref="D282:H282"/>
    <mergeCell ref="L282:O282"/>
    <mergeCell ref="D283:H283"/>
    <mergeCell ref="L283:O283"/>
    <mergeCell ref="D300:H300"/>
    <mergeCell ref="L300:O300"/>
    <mergeCell ref="D301:H301"/>
    <mergeCell ref="L301:O301"/>
    <mergeCell ref="D298:H298"/>
    <mergeCell ref="L298:O298"/>
    <mergeCell ref="D299:H299"/>
    <mergeCell ref="L299:O299"/>
    <mergeCell ref="D296:H296"/>
    <mergeCell ref="L296:O296"/>
    <mergeCell ref="D297:H297"/>
    <mergeCell ref="L297:O297"/>
    <mergeCell ref="D294:H294"/>
    <mergeCell ref="L294:O294"/>
    <mergeCell ref="D295:H295"/>
    <mergeCell ref="L295:O295"/>
    <mergeCell ref="D292:H292"/>
    <mergeCell ref="L292:O292"/>
    <mergeCell ref="D293:H293"/>
    <mergeCell ref="L293:O293"/>
    <mergeCell ref="D310:H310"/>
    <mergeCell ref="L310:O310"/>
    <mergeCell ref="D311:H311"/>
    <mergeCell ref="L311:O311"/>
    <mergeCell ref="D308:H308"/>
    <mergeCell ref="L308:O308"/>
    <mergeCell ref="D309:H309"/>
    <mergeCell ref="L309:O309"/>
    <mergeCell ref="D306:H306"/>
    <mergeCell ref="L306:O306"/>
    <mergeCell ref="D307:H307"/>
    <mergeCell ref="L307:O307"/>
    <mergeCell ref="D304:H304"/>
    <mergeCell ref="L304:O304"/>
    <mergeCell ref="D305:H305"/>
    <mergeCell ref="L305:O305"/>
    <mergeCell ref="D302:H302"/>
    <mergeCell ref="L302:O302"/>
    <mergeCell ref="D303:H303"/>
    <mergeCell ref="L303:O303"/>
    <mergeCell ref="D320:H320"/>
    <mergeCell ref="L320:O320"/>
    <mergeCell ref="D321:H321"/>
    <mergeCell ref="L321:O321"/>
    <mergeCell ref="D318:H318"/>
    <mergeCell ref="L318:O318"/>
    <mergeCell ref="D319:H319"/>
    <mergeCell ref="L319:O319"/>
    <mergeCell ref="D316:H316"/>
    <mergeCell ref="L316:O316"/>
    <mergeCell ref="D317:H317"/>
    <mergeCell ref="L317:O317"/>
    <mergeCell ref="D314:H314"/>
    <mergeCell ref="L314:O314"/>
    <mergeCell ref="D315:H315"/>
    <mergeCell ref="L315:O315"/>
    <mergeCell ref="D312:H312"/>
    <mergeCell ref="L312:O312"/>
    <mergeCell ref="D313:H313"/>
    <mergeCell ref="L313:O313"/>
    <mergeCell ref="D330:H330"/>
    <mergeCell ref="L330:O330"/>
    <mergeCell ref="D331:H331"/>
    <mergeCell ref="L331:O331"/>
    <mergeCell ref="D328:H328"/>
    <mergeCell ref="L328:O328"/>
    <mergeCell ref="D329:H329"/>
    <mergeCell ref="L329:O329"/>
    <mergeCell ref="D326:H326"/>
    <mergeCell ref="L326:O326"/>
    <mergeCell ref="D327:H327"/>
    <mergeCell ref="L327:O327"/>
    <mergeCell ref="D324:H324"/>
    <mergeCell ref="L324:O324"/>
    <mergeCell ref="D325:H325"/>
    <mergeCell ref="L325:O325"/>
    <mergeCell ref="D322:H322"/>
    <mergeCell ref="L322:O322"/>
    <mergeCell ref="D323:H323"/>
    <mergeCell ref="L323:O323"/>
    <mergeCell ref="D340:H340"/>
    <mergeCell ref="L340:O340"/>
    <mergeCell ref="D341:H341"/>
    <mergeCell ref="L341:O341"/>
    <mergeCell ref="D338:H338"/>
    <mergeCell ref="L338:O338"/>
    <mergeCell ref="D339:H339"/>
    <mergeCell ref="L339:O339"/>
    <mergeCell ref="D336:H336"/>
    <mergeCell ref="L336:O336"/>
    <mergeCell ref="D337:H337"/>
    <mergeCell ref="L337:O337"/>
    <mergeCell ref="D334:H334"/>
    <mergeCell ref="L334:O334"/>
    <mergeCell ref="D335:H335"/>
    <mergeCell ref="L335:O335"/>
    <mergeCell ref="D332:H332"/>
    <mergeCell ref="L332:O332"/>
    <mergeCell ref="D333:H333"/>
    <mergeCell ref="L333:O333"/>
    <mergeCell ref="D350:H350"/>
    <mergeCell ref="L350:O350"/>
    <mergeCell ref="D351:H351"/>
    <mergeCell ref="L351:O351"/>
    <mergeCell ref="D348:H348"/>
    <mergeCell ref="L348:O348"/>
    <mergeCell ref="D349:H349"/>
    <mergeCell ref="L349:O349"/>
    <mergeCell ref="D346:H346"/>
    <mergeCell ref="L346:O346"/>
    <mergeCell ref="D347:H347"/>
    <mergeCell ref="L347:O347"/>
    <mergeCell ref="D344:H344"/>
    <mergeCell ref="L344:O344"/>
    <mergeCell ref="D345:H345"/>
    <mergeCell ref="L345:O345"/>
    <mergeCell ref="D342:H342"/>
    <mergeCell ref="L342:O342"/>
    <mergeCell ref="D343:H343"/>
    <mergeCell ref="L343:O343"/>
    <mergeCell ref="D360:H360"/>
    <mergeCell ref="L360:O360"/>
    <mergeCell ref="D361:H361"/>
    <mergeCell ref="L361:O361"/>
    <mergeCell ref="D358:H358"/>
    <mergeCell ref="L358:O358"/>
    <mergeCell ref="D359:H359"/>
    <mergeCell ref="L359:O359"/>
    <mergeCell ref="D356:H356"/>
    <mergeCell ref="L356:O356"/>
    <mergeCell ref="D357:H357"/>
    <mergeCell ref="L357:O357"/>
    <mergeCell ref="D354:H354"/>
    <mergeCell ref="L354:O354"/>
    <mergeCell ref="D355:H355"/>
    <mergeCell ref="L355:O355"/>
    <mergeCell ref="D352:H352"/>
    <mergeCell ref="L352:O352"/>
    <mergeCell ref="D353:H353"/>
    <mergeCell ref="L353:O353"/>
    <mergeCell ref="D370:H370"/>
    <mergeCell ref="L370:O370"/>
    <mergeCell ref="D371:H371"/>
    <mergeCell ref="L371:O371"/>
    <mergeCell ref="D368:H368"/>
    <mergeCell ref="L368:O368"/>
    <mergeCell ref="D369:H369"/>
    <mergeCell ref="L369:O369"/>
    <mergeCell ref="D366:H366"/>
    <mergeCell ref="L366:O366"/>
    <mergeCell ref="D367:H367"/>
    <mergeCell ref="L367:O367"/>
    <mergeCell ref="D364:H364"/>
    <mergeCell ref="L364:O364"/>
    <mergeCell ref="D365:H365"/>
    <mergeCell ref="L365:O365"/>
    <mergeCell ref="D362:H362"/>
    <mergeCell ref="L362:O362"/>
    <mergeCell ref="D363:H363"/>
    <mergeCell ref="L363:O363"/>
    <mergeCell ref="D380:H380"/>
    <mergeCell ref="L380:O380"/>
    <mergeCell ref="D381:H381"/>
    <mergeCell ref="L381:O381"/>
    <mergeCell ref="D378:H378"/>
    <mergeCell ref="L378:O378"/>
    <mergeCell ref="D379:H379"/>
    <mergeCell ref="L379:O379"/>
    <mergeCell ref="D376:H376"/>
    <mergeCell ref="L376:O376"/>
    <mergeCell ref="D377:H377"/>
    <mergeCell ref="L377:O377"/>
    <mergeCell ref="D374:H374"/>
    <mergeCell ref="L374:O374"/>
    <mergeCell ref="D375:H375"/>
    <mergeCell ref="L375:O375"/>
    <mergeCell ref="D372:H372"/>
    <mergeCell ref="L372:O372"/>
    <mergeCell ref="D373:H373"/>
    <mergeCell ref="L373:O373"/>
    <mergeCell ref="D390:H390"/>
    <mergeCell ref="L390:O390"/>
    <mergeCell ref="D391:H391"/>
    <mergeCell ref="L391:O391"/>
    <mergeCell ref="D388:H388"/>
    <mergeCell ref="L388:O388"/>
    <mergeCell ref="D389:H389"/>
    <mergeCell ref="L389:O389"/>
    <mergeCell ref="D386:H386"/>
    <mergeCell ref="L386:O386"/>
    <mergeCell ref="D387:H387"/>
    <mergeCell ref="L387:O387"/>
    <mergeCell ref="D384:H384"/>
    <mergeCell ref="L384:O384"/>
    <mergeCell ref="D385:H385"/>
    <mergeCell ref="L385:O385"/>
    <mergeCell ref="D382:H382"/>
    <mergeCell ref="L382:O382"/>
    <mergeCell ref="D383:H383"/>
    <mergeCell ref="L383:O383"/>
    <mergeCell ref="D400:H400"/>
    <mergeCell ref="L400:O400"/>
    <mergeCell ref="D401:H401"/>
    <mergeCell ref="L401:O401"/>
    <mergeCell ref="D398:H398"/>
    <mergeCell ref="L398:O398"/>
    <mergeCell ref="D399:H399"/>
    <mergeCell ref="L399:O399"/>
    <mergeCell ref="D396:H396"/>
    <mergeCell ref="L396:O396"/>
    <mergeCell ref="D397:H397"/>
    <mergeCell ref="L397:O397"/>
    <mergeCell ref="D394:H394"/>
    <mergeCell ref="L394:O394"/>
    <mergeCell ref="D395:H395"/>
    <mergeCell ref="L395:O395"/>
    <mergeCell ref="D392:H392"/>
    <mergeCell ref="L392:O392"/>
    <mergeCell ref="D393:H393"/>
    <mergeCell ref="L393:O393"/>
    <mergeCell ref="D410:H410"/>
    <mergeCell ref="L410:O410"/>
    <mergeCell ref="D411:H411"/>
    <mergeCell ref="L411:O411"/>
    <mergeCell ref="D408:H408"/>
    <mergeCell ref="L408:O408"/>
    <mergeCell ref="D409:H409"/>
    <mergeCell ref="L409:O409"/>
    <mergeCell ref="D406:H406"/>
    <mergeCell ref="L406:O406"/>
    <mergeCell ref="D407:H407"/>
    <mergeCell ref="L407:O407"/>
    <mergeCell ref="D404:H404"/>
    <mergeCell ref="L404:O404"/>
    <mergeCell ref="D405:H405"/>
    <mergeCell ref="L405:O405"/>
    <mergeCell ref="D402:H402"/>
    <mergeCell ref="L402:O402"/>
    <mergeCell ref="D403:H403"/>
    <mergeCell ref="L403:O403"/>
    <mergeCell ref="D420:H420"/>
    <mergeCell ref="L420:O420"/>
    <mergeCell ref="D421:H421"/>
    <mergeCell ref="L421:O421"/>
    <mergeCell ref="D418:H418"/>
    <mergeCell ref="L418:O418"/>
    <mergeCell ref="D419:H419"/>
    <mergeCell ref="L419:O419"/>
    <mergeCell ref="D416:H416"/>
    <mergeCell ref="L416:O416"/>
    <mergeCell ref="D417:H417"/>
    <mergeCell ref="L417:O417"/>
    <mergeCell ref="D414:H414"/>
    <mergeCell ref="L414:O414"/>
    <mergeCell ref="D415:H415"/>
    <mergeCell ref="L415:O415"/>
    <mergeCell ref="D412:H412"/>
    <mergeCell ref="L412:O412"/>
    <mergeCell ref="D413:H413"/>
    <mergeCell ref="L413:O413"/>
    <mergeCell ref="D430:H430"/>
    <mergeCell ref="L430:O430"/>
    <mergeCell ref="D431:H431"/>
    <mergeCell ref="L431:O431"/>
    <mergeCell ref="D428:H428"/>
    <mergeCell ref="L428:O428"/>
    <mergeCell ref="D429:H429"/>
    <mergeCell ref="L429:O429"/>
    <mergeCell ref="D426:H426"/>
    <mergeCell ref="L426:O426"/>
    <mergeCell ref="D427:H427"/>
    <mergeCell ref="L427:O427"/>
    <mergeCell ref="D424:H424"/>
    <mergeCell ref="L424:O424"/>
    <mergeCell ref="D425:H425"/>
    <mergeCell ref="L425:O425"/>
    <mergeCell ref="D422:H422"/>
    <mergeCell ref="L422:O422"/>
    <mergeCell ref="D423:H423"/>
    <mergeCell ref="L423:O423"/>
    <mergeCell ref="D440:H440"/>
    <mergeCell ref="L440:O440"/>
    <mergeCell ref="D441:H441"/>
    <mergeCell ref="L441:O441"/>
    <mergeCell ref="D438:H438"/>
    <mergeCell ref="L438:O438"/>
    <mergeCell ref="D439:H439"/>
    <mergeCell ref="L439:O439"/>
    <mergeCell ref="D436:H436"/>
    <mergeCell ref="L436:O436"/>
    <mergeCell ref="D437:H437"/>
    <mergeCell ref="L437:O437"/>
    <mergeCell ref="D434:H434"/>
    <mergeCell ref="L434:O434"/>
    <mergeCell ref="D435:H435"/>
    <mergeCell ref="L435:O435"/>
    <mergeCell ref="D432:H432"/>
    <mergeCell ref="L432:O432"/>
    <mergeCell ref="D433:H433"/>
    <mergeCell ref="L433:O433"/>
    <mergeCell ref="D450:H450"/>
    <mergeCell ref="L450:O450"/>
    <mergeCell ref="D451:H451"/>
    <mergeCell ref="L451:O451"/>
    <mergeCell ref="D448:H448"/>
    <mergeCell ref="L448:O448"/>
    <mergeCell ref="D449:H449"/>
    <mergeCell ref="L449:O449"/>
    <mergeCell ref="D446:H446"/>
    <mergeCell ref="L446:O446"/>
    <mergeCell ref="D447:H447"/>
    <mergeCell ref="L447:O447"/>
    <mergeCell ref="D444:H444"/>
    <mergeCell ref="L444:O444"/>
    <mergeCell ref="D445:H445"/>
    <mergeCell ref="L445:O445"/>
    <mergeCell ref="D442:H442"/>
    <mergeCell ref="L442:O442"/>
    <mergeCell ref="D443:H443"/>
    <mergeCell ref="L443:O443"/>
    <mergeCell ref="D460:H460"/>
    <mergeCell ref="L460:O460"/>
    <mergeCell ref="D461:H461"/>
    <mergeCell ref="L461:O461"/>
    <mergeCell ref="D458:H458"/>
    <mergeCell ref="L458:O458"/>
    <mergeCell ref="D459:H459"/>
    <mergeCell ref="L459:O459"/>
    <mergeCell ref="D456:H456"/>
    <mergeCell ref="L456:O456"/>
    <mergeCell ref="D457:H457"/>
    <mergeCell ref="L457:O457"/>
    <mergeCell ref="D454:H454"/>
    <mergeCell ref="L454:O454"/>
    <mergeCell ref="D455:H455"/>
    <mergeCell ref="L455:O455"/>
    <mergeCell ref="D452:H452"/>
    <mergeCell ref="L452:O452"/>
    <mergeCell ref="D453:H453"/>
    <mergeCell ref="L453:O453"/>
    <mergeCell ref="D470:H470"/>
    <mergeCell ref="L470:O470"/>
    <mergeCell ref="D471:H471"/>
    <mergeCell ref="L471:O471"/>
    <mergeCell ref="D468:H468"/>
    <mergeCell ref="L468:O468"/>
    <mergeCell ref="D469:H469"/>
    <mergeCell ref="L469:O469"/>
    <mergeCell ref="D466:H466"/>
    <mergeCell ref="L466:O466"/>
    <mergeCell ref="D467:H467"/>
    <mergeCell ref="L467:O467"/>
    <mergeCell ref="D464:H464"/>
    <mergeCell ref="L464:O464"/>
    <mergeCell ref="D465:H465"/>
    <mergeCell ref="L465:O465"/>
    <mergeCell ref="D462:H462"/>
    <mergeCell ref="L462:O462"/>
    <mergeCell ref="D463:H463"/>
    <mergeCell ref="L463:O463"/>
    <mergeCell ref="D480:H480"/>
    <mergeCell ref="L480:O480"/>
    <mergeCell ref="D481:H481"/>
    <mergeCell ref="L481:O481"/>
    <mergeCell ref="D478:H478"/>
    <mergeCell ref="L478:O478"/>
    <mergeCell ref="D479:H479"/>
    <mergeCell ref="L479:O479"/>
    <mergeCell ref="D476:H476"/>
    <mergeCell ref="L476:O476"/>
    <mergeCell ref="D477:H477"/>
    <mergeCell ref="L477:O477"/>
    <mergeCell ref="D474:H474"/>
    <mergeCell ref="L474:O474"/>
    <mergeCell ref="D475:H475"/>
    <mergeCell ref="L475:O475"/>
    <mergeCell ref="D472:H472"/>
    <mergeCell ref="L472:O472"/>
    <mergeCell ref="D473:H473"/>
    <mergeCell ref="L473:O473"/>
    <mergeCell ref="D490:H490"/>
    <mergeCell ref="L490:O490"/>
    <mergeCell ref="D491:H491"/>
    <mergeCell ref="L491:O491"/>
    <mergeCell ref="D488:H488"/>
    <mergeCell ref="L488:O488"/>
    <mergeCell ref="D489:H489"/>
    <mergeCell ref="L489:O489"/>
    <mergeCell ref="D486:H486"/>
    <mergeCell ref="L486:O486"/>
    <mergeCell ref="D487:H487"/>
    <mergeCell ref="L487:O487"/>
    <mergeCell ref="D484:H484"/>
    <mergeCell ref="L484:O484"/>
    <mergeCell ref="D485:H485"/>
    <mergeCell ref="L485:O485"/>
    <mergeCell ref="D482:H482"/>
    <mergeCell ref="L482:O482"/>
    <mergeCell ref="D483:H483"/>
    <mergeCell ref="L483:O483"/>
    <mergeCell ref="D500:H500"/>
    <mergeCell ref="L500:O500"/>
    <mergeCell ref="D501:H501"/>
    <mergeCell ref="L501:O501"/>
    <mergeCell ref="D498:H498"/>
    <mergeCell ref="L498:O498"/>
    <mergeCell ref="D499:H499"/>
    <mergeCell ref="L499:O499"/>
    <mergeCell ref="D496:H496"/>
    <mergeCell ref="L496:O496"/>
    <mergeCell ref="D497:H497"/>
    <mergeCell ref="L497:O497"/>
    <mergeCell ref="D494:H494"/>
    <mergeCell ref="L494:O494"/>
    <mergeCell ref="D495:H495"/>
    <mergeCell ref="L495:O495"/>
    <mergeCell ref="D492:H492"/>
    <mergeCell ref="L492:O492"/>
    <mergeCell ref="D493:H493"/>
    <mergeCell ref="L493:O493"/>
    <mergeCell ref="D510:H510"/>
    <mergeCell ref="L510:O510"/>
    <mergeCell ref="D511:H511"/>
    <mergeCell ref="L511:O511"/>
    <mergeCell ref="D508:H508"/>
    <mergeCell ref="L508:O508"/>
    <mergeCell ref="D509:H509"/>
    <mergeCell ref="L509:O509"/>
    <mergeCell ref="D506:H506"/>
    <mergeCell ref="L506:O506"/>
    <mergeCell ref="D507:H507"/>
    <mergeCell ref="L507:O507"/>
    <mergeCell ref="D504:H504"/>
    <mergeCell ref="L504:O504"/>
    <mergeCell ref="D505:H505"/>
    <mergeCell ref="L505:O505"/>
    <mergeCell ref="D502:H502"/>
    <mergeCell ref="L502:O502"/>
    <mergeCell ref="D503:H503"/>
    <mergeCell ref="L503:O503"/>
    <mergeCell ref="D520:H520"/>
    <mergeCell ref="L520:O520"/>
    <mergeCell ref="D521:H521"/>
    <mergeCell ref="L521:O521"/>
    <mergeCell ref="D518:H518"/>
    <mergeCell ref="L518:O518"/>
    <mergeCell ref="D519:H519"/>
    <mergeCell ref="L519:O519"/>
    <mergeCell ref="D516:H516"/>
    <mergeCell ref="L516:O516"/>
    <mergeCell ref="D517:H517"/>
    <mergeCell ref="L517:O517"/>
    <mergeCell ref="D514:H514"/>
    <mergeCell ref="L514:O514"/>
    <mergeCell ref="D515:H515"/>
    <mergeCell ref="L515:O515"/>
    <mergeCell ref="D512:H512"/>
    <mergeCell ref="L512:O512"/>
    <mergeCell ref="D513:H513"/>
    <mergeCell ref="L513:O513"/>
    <mergeCell ref="D530:H530"/>
    <mergeCell ref="L530:O530"/>
    <mergeCell ref="D531:H531"/>
    <mergeCell ref="L531:O531"/>
    <mergeCell ref="D528:H528"/>
    <mergeCell ref="L528:O528"/>
    <mergeCell ref="D529:H529"/>
    <mergeCell ref="L529:O529"/>
    <mergeCell ref="D526:H526"/>
    <mergeCell ref="L526:O526"/>
    <mergeCell ref="D527:H527"/>
    <mergeCell ref="L527:O527"/>
    <mergeCell ref="D524:H524"/>
    <mergeCell ref="L524:O524"/>
    <mergeCell ref="D525:H525"/>
    <mergeCell ref="L525:O525"/>
    <mergeCell ref="D522:H522"/>
    <mergeCell ref="L522:O522"/>
    <mergeCell ref="D523:H523"/>
    <mergeCell ref="L523:O523"/>
    <mergeCell ref="D540:H540"/>
    <mergeCell ref="L540:O540"/>
    <mergeCell ref="D541:H541"/>
    <mergeCell ref="L541:O541"/>
    <mergeCell ref="D538:H538"/>
    <mergeCell ref="L538:O538"/>
    <mergeCell ref="D539:H539"/>
    <mergeCell ref="L539:O539"/>
    <mergeCell ref="D536:H536"/>
    <mergeCell ref="L536:O536"/>
    <mergeCell ref="D537:H537"/>
    <mergeCell ref="L537:O537"/>
    <mergeCell ref="D534:H534"/>
    <mergeCell ref="L534:O534"/>
    <mergeCell ref="D535:H535"/>
    <mergeCell ref="L535:O535"/>
    <mergeCell ref="D532:H532"/>
    <mergeCell ref="L532:O532"/>
    <mergeCell ref="D533:H533"/>
    <mergeCell ref="L533:O533"/>
    <mergeCell ref="D550:H550"/>
    <mergeCell ref="L550:O550"/>
    <mergeCell ref="D551:H551"/>
    <mergeCell ref="L551:O551"/>
    <mergeCell ref="D548:H548"/>
    <mergeCell ref="L548:O548"/>
    <mergeCell ref="D549:H549"/>
    <mergeCell ref="L549:O549"/>
    <mergeCell ref="D546:H546"/>
    <mergeCell ref="L546:O546"/>
    <mergeCell ref="D547:H547"/>
    <mergeCell ref="L547:O547"/>
    <mergeCell ref="D544:H544"/>
    <mergeCell ref="L544:O544"/>
    <mergeCell ref="D545:H545"/>
    <mergeCell ref="L545:O545"/>
    <mergeCell ref="D542:H542"/>
    <mergeCell ref="L542:O542"/>
    <mergeCell ref="D543:H543"/>
    <mergeCell ref="L543:O543"/>
    <mergeCell ref="D560:H560"/>
    <mergeCell ref="L560:O560"/>
    <mergeCell ref="D561:H561"/>
    <mergeCell ref="L561:O561"/>
    <mergeCell ref="D558:H558"/>
    <mergeCell ref="L558:O558"/>
    <mergeCell ref="D559:H559"/>
    <mergeCell ref="L559:O559"/>
    <mergeCell ref="D556:H556"/>
    <mergeCell ref="L556:O556"/>
    <mergeCell ref="D557:H557"/>
    <mergeCell ref="L557:O557"/>
    <mergeCell ref="D554:H554"/>
    <mergeCell ref="L554:O554"/>
    <mergeCell ref="D555:H555"/>
    <mergeCell ref="L555:O555"/>
    <mergeCell ref="D552:H552"/>
    <mergeCell ref="L552:O552"/>
    <mergeCell ref="D553:H553"/>
    <mergeCell ref="L553:O553"/>
    <mergeCell ref="D570:H570"/>
    <mergeCell ref="L570:O570"/>
    <mergeCell ref="D571:H571"/>
    <mergeCell ref="L571:O571"/>
    <mergeCell ref="D568:H568"/>
    <mergeCell ref="L568:O568"/>
    <mergeCell ref="D569:H569"/>
    <mergeCell ref="L569:O569"/>
    <mergeCell ref="D566:H566"/>
    <mergeCell ref="L566:O566"/>
    <mergeCell ref="D567:H567"/>
    <mergeCell ref="L567:O567"/>
    <mergeCell ref="D564:H564"/>
    <mergeCell ref="L564:O564"/>
    <mergeCell ref="D565:H565"/>
    <mergeCell ref="L565:O565"/>
    <mergeCell ref="D562:H562"/>
    <mergeCell ref="L562:O562"/>
    <mergeCell ref="D563:H563"/>
    <mergeCell ref="L563:O563"/>
    <mergeCell ref="D580:H580"/>
    <mergeCell ref="L580:O580"/>
    <mergeCell ref="D581:H581"/>
    <mergeCell ref="L581:O581"/>
    <mergeCell ref="D578:H578"/>
    <mergeCell ref="L578:O578"/>
    <mergeCell ref="D579:H579"/>
    <mergeCell ref="L579:O579"/>
    <mergeCell ref="D576:H576"/>
    <mergeCell ref="L576:O576"/>
    <mergeCell ref="D577:H577"/>
    <mergeCell ref="L577:O577"/>
    <mergeCell ref="D574:H574"/>
    <mergeCell ref="L574:O574"/>
    <mergeCell ref="D575:H575"/>
    <mergeCell ref="L575:O575"/>
    <mergeCell ref="D572:H572"/>
    <mergeCell ref="L572:O572"/>
    <mergeCell ref="D573:H573"/>
    <mergeCell ref="L573:O573"/>
    <mergeCell ref="D590:H590"/>
    <mergeCell ref="L590:O590"/>
    <mergeCell ref="D591:H591"/>
    <mergeCell ref="L591:O591"/>
    <mergeCell ref="D588:H588"/>
    <mergeCell ref="L588:O588"/>
    <mergeCell ref="D589:H589"/>
    <mergeCell ref="L589:O589"/>
    <mergeCell ref="D586:H586"/>
    <mergeCell ref="L586:O586"/>
    <mergeCell ref="D587:H587"/>
    <mergeCell ref="L587:O587"/>
    <mergeCell ref="D584:H584"/>
    <mergeCell ref="L584:O584"/>
    <mergeCell ref="D585:H585"/>
    <mergeCell ref="L585:O585"/>
    <mergeCell ref="D582:H582"/>
    <mergeCell ref="L582:O582"/>
    <mergeCell ref="D583:H583"/>
    <mergeCell ref="L583:O583"/>
    <mergeCell ref="D600:H600"/>
    <mergeCell ref="L600:O600"/>
    <mergeCell ref="D601:H601"/>
    <mergeCell ref="L601:O601"/>
    <mergeCell ref="D598:H598"/>
    <mergeCell ref="L598:O598"/>
    <mergeCell ref="D599:H599"/>
    <mergeCell ref="L599:O599"/>
    <mergeCell ref="D596:H596"/>
    <mergeCell ref="L596:O596"/>
    <mergeCell ref="D597:H597"/>
    <mergeCell ref="L597:O597"/>
    <mergeCell ref="D594:H594"/>
    <mergeCell ref="L594:O594"/>
    <mergeCell ref="D595:H595"/>
    <mergeCell ref="L595:O595"/>
    <mergeCell ref="D592:H592"/>
    <mergeCell ref="L592:O592"/>
    <mergeCell ref="D593:H593"/>
    <mergeCell ref="L593:O593"/>
    <mergeCell ref="D610:H610"/>
    <mergeCell ref="L610:O610"/>
    <mergeCell ref="D611:H611"/>
    <mergeCell ref="L611:O611"/>
    <mergeCell ref="D608:H608"/>
    <mergeCell ref="L608:O608"/>
    <mergeCell ref="D609:H609"/>
    <mergeCell ref="L609:O609"/>
    <mergeCell ref="D606:H606"/>
    <mergeCell ref="L606:O606"/>
    <mergeCell ref="D607:H607"/>
    <mergeCell ref="L607:O607"/>
    <mergeCell ref="D604:H604"/>
    <mergeCell ref="L604:O604"/>
    <mergeCell ref="D605:H605"/>
    <mergeCell ref="L605:O605"/>
    <mergeCell ref="D602:H602"/>
    <mergeCell ref="L602:O602"/>
    <mergeCell ref="D603:H603"/>
    <mergeCell ref="L603:O603"/>
    <mergeCell ref="D620:H620"/>
    <mergeCell ref="L620:O620"/>
    <mergeCell ref="D621:H621"/>
    <mergeCell ref="L621:O621"/>
    <mergeCell ref="D618:H618"/>
    <mergeCell ref="L618:O618"/>
    <mergeCell ref="D619:H619"/>
    <mergeCell ref="L619:O619"/>
    <mergeCell ref="D616:H616"/>
    <mergeCell ref="L616:O616"/>
    <mergeCell ref="D617:H617"/>
    <mergeCell ref="L617:O617"/>
    <mergeCell ref="D614:H614"/>
    <mergeCell ref="L614:O614"/>
    <mergeCell ref="D615:H615"/>
    <mergeCell ref="L615:O615"/>
    <mergeCell ref="D612:H612"/>
    <mergeCell ref="L612:O612"/>
    <mergeCell ref="D613:H613"/>
    <mergeCell ref="L613:O613"/>
    <mergeCell ref="D630:H630"/>
    <mergeCell ref="L630:O630"/>
    <mergeCell ref="D631:H631"/>
    <mergeCell ref="L631:O631"/>
    <mergeCell ref="D628:H628"/>
    <mergeCell ref="L628:O628"/>
    <mergeCell ref="D629:H629"/>
    <mergeCell ref="L629:O629"/>
    <mergeCell ref="D626:H626"/>
    <mergeCell ref="L626:O626"/>
    <mergeCell ref="D627:H627"/>
    <mergeCell ref="L627:O627"/>
    <mergeCell ref="D624:H624"/>
    <mergeCell ref="L624:O624"/>
    <mergeCell ref="D625:H625"/>
    <mergeCell ref="L625:O625"/>
    <mergeCell ref="D622:H622"/>
    <mergeCell ref="L622:O622"/>
    <mergeCell ref="D623:H623"/>
    <mergeCell ref="L623:O623"/>
    <mergeCell ref="D640:H640"/>
    <mergeCell ref="L640:O640"/>
    <mergeCell ref="D641:H641"/>
    <mergeCell ref="L641:O641"/>
    <mergeCell ref="D638:H638"/>
    <mergeCell ref="L638:O638"/>
    <mergeCell ref="D639:H639"/>
    <mergeCell ref="L639:O639"/>
    <mergeCell ref="D636:H636"/>
    <mergeCell ref="L636:O636"/>
    <mergeCell ref="D637:H637"/>
    <mergeCell ref="L637:O637"/>
    <mergeCell ref="D634:H634"/>
    <mergeCell ref="L634:O634"/>
    <mergeCell ref="D635:H635"/>
    <mergeCell ref="L635:O635"/>
    <mergeCell ref="D632:H632"/>
    <mergeCell ref="L632:O632"/>
    <mergeCell ref="D633:H633"/>
    <mergeCell ref="L633:O633"/>
    <mergeCell ref="D650:H650"/>
    <mergeCell ref="L650:O650"/>
    <mergeCell ref="D651:H651"/>
    <mergeCell ref="L651:O651"/>
    <mergeCell ref="D648:H648"/>
    <mergeCell ref="L648:O648"/>
    <mergeCell ref="D649:H649"/>
    <mergeCell ref="L649:O649"/>
    <mergeCell ref="D646:H646"/>
    <mergeCell ref="L646:O646"/>
    <mergeCell ref="D647:H647"/>
    <mergeCell ref="L647:O647"/>
    <mergeCell ref="D644:H644"/>
    <mergeCell ref="L644:O644"/>
    <mergeCell ref="D645:H645"/>
    <mergeCell ref="L645:O645"/>
    <mergeCell ref="D642:H642"/>
    <mergeCell ref="L642:O642"/>
    <mergeCell ref="D643:H643"/>
    <mergeCell ref="L643:O643"/>
    <mergeCell ref="D660:H660"/>
    <mergeCell ref="L660:O660"/>
    <mergeCell ref="D661:H661"/>
    <mergeCell ref="L661:O661"/>
    <mergeCell ref="D658:H658"/>
    <mergeCell ref="L658:O658"/>
    <mergeCell ref="D659:H659"/>
    <mergeCell ref="L659:O659"/>
    <mergeCell ref="D656:H656"/>
    <mergeCell ref="L656:O656"/>
    <mergeCell ref="D657:H657"/>
    <mergeCell ref="L657:O657"/>
    <mergeCell ref="D654:H654"/>
    <mergeCell ref="L654:O654"/>
    <mergeCell ref="D655:H655"/>
    <mergeCell ref="L655:O655"/>
    <mergeCell ref="D652:H652"/>
    <mergeCell ref="L652:O652"/>
    <mergeCell ref="D653:H653"/>
    <mergeCell ref="L653:O653"/>
    <mergeCell ref="D670:H670"/>
    <mergeCell ref="L670:O670"/>
    <mergeCell ref="D671:H671"/>
    <mergeCell ref="L671:O671"/>
    <mergeCell ref="D668:H668"/>
    <mergeCell ref="L668:O668"/>
    <mergeCell ref="D669:H669"/>
    <mergeCell ref="L669:O669"/>
    <mergeCell ref="D666:H666"/>
    <mergeCell ref="L666:O666"/>
    <mergeCell ref="D667:H667"/>
    <mergeCell ref="L667:O667"/>
    <mergeCell ref="D664:H664"/>
    <mergeCell ref="L664:O664"/>
    <mergeCell ref="D665:H665"/>
    <mergeCell ref="L665:O665"/>
    <mergeCell ref="D662:H662"/>
    <mergeCell ref="L662:O662"/>
    <mergeCell ref="D663:H663"/>
    <mergeCell ref="L663:O663"/>
    <mergeCell ref="D680:H680"/>
    <mergeCell ref="L680:O680"/>
    <mergeCell ref="D681:H681"/>
    <mergeCell ref="L681:O681"/>
    <mergeCell ref="D678:H678"/>
    <mergeCell ref="L678:O678"/>
    <mergeCell ref="D679:H679"/>
    <mergeCell ref="L679:O679"/>
    <mergeCell ref="D676:H676"/>
    <mergeCell ref="L676:O676"/>
    <mergeCell ref="D677:H677"/>
    <mergeCell ref="L677:O677"/>
    <mergeCell ref="D674:H674"/>
    <mergeCell ref="L674:O674"/>
    <mergeCell ref="D675:H675"/>
    <mergeCell ref="L675:O675"/>
    <mergeCell ref="D672:H672"/>
    <mergeCell ref="L672:O672"/>
    <mergeCell ref="D673:H673"/>
    <mergeCell ref="L673:O673"/>
    <mergeCell ref="D690:H690"/>
    <mergeCell ref="L690:O690"/>
    <mergeCell ref="D691:H691"/>
    <mergeCell ref="L691:O691"/>
    <mergeCell ref="D688:H688"/>
    <mergeCell ref="L688:O688"/>
    <mergeCell ref="D689:H689"/>
    <mergeCell ref="L689:O689"/>
    <mergeCell ref="D686:H686"/>
    <mergeCell ref="L686:O686"/>
    <mergeCell ref="D687:H687"/>
    <mergeCell ref="L687:O687"/>
    <mergeCell ref="D684:H684"/>
    <mergeCell ref="L684:O684"/>
    <mergeCell ref="D685:H685"/>
    <mergeCell ref="L685:O685"/>
    <mergeCell ref="D682:H682"/>
    <mergeCell ref="L682:O682"/>
    <mergeCell ref="D683:H683"/>
    <mergeCell ref="L683:O683"/>
    <mergeCell ref="D700:H700"/>
    <mergeCell ref="L700:O700"/>
    <mergeCell ref="D701:H701"/>
    <mergeCell ref="L701:O701"/>
    <mergeCell ref="D698:H698"/>
    <mergeCell ref="L698:O698"/>
    <mergeCell ref="D699:H699"/>
    <mergeCell ref="L699:O699"/>
    <mergeCell ref="D696:H696"/>
    <mergeCell ref="L696:O696"/>
    <mergeCell ref="D697:H697"/>
    <mergeCell ref="L697:O697"/>
    <mergeCell ref="D694:H694"/>
    <mergeCell ref="L694:O694"/>
    <mergeCell ref="D695:H695"/>
    <mergeCell ref="L695:O695"/>
    <mergeCell ref="D692:H692"/>
    <mergeCell ref="L692:O692"/>
    <mergeCell ref="D693:H693"/>
    <mergeCell ref="L693:O693"/>
    <mergeCell ref="D710:H710"/>
    <mergeCell ref="L710:O710"/>
    <mergeCell ref="D711:H711"/>
    <mergeCell ref="L711:O711"/>
    <mergeCell ref="D708:H708"/>
    <mergeCell ref="L708:O708"/>
    <mergeCell ref="D709:H709"/>
    <mergeCell ref="L709:O709"/>
    <mergeCell ref="D706:H706"/>
    <mergeCell ref="L706:O706"/>
    <mergeCell ref="D707:H707"/>
    <mergeCell ref="L707:O707"/>
    <mergeCell ref="D704:H704"/>
    <mergeCell ref="L704:O704"/>
    <mergeCell ref="D705:H705"/>
    <mergeCell ref="L705:O705"/>
    <mergeCell ref="D702:H702"/>
    <mergeCell ref="L702:O702"/>
    <mergeCell ref="D703:H703"/>
    <mergeCell ref="L703:O703"/>
    <mergeCell ref="D720:H720"/>
    <mergeCell ref="L720:O720"/>
    <mergeCell ref="D721:H721"/>
    <mergeCell ref="L721:O721"/>
    <mergeCell ref="D718:H718"/>
    <mergeCell ref="L718:O718"/>
    <mergeCell ref="D719:H719"/>
    <mergeCell ref="L719:O719"/>
    <mergeCell ref="D716:H716"/>
    <mergeCell ref="L716:O716"/>
    <mergeCell ref="D717:H717"/>
    <mergeCell ref="L717:O717"/>
    <mergeCell ref="D714:H714"/>
    <mergeCell ref="L714:O714"/>
    <mergeCell ref="D715:H715"/>
    <mergeCell ref="L715:O715"/>
    <mergeCell ref="D712:H712"/>
    <mergeCell ref="L712:O712"/>
    <mergeCell ref="D713:H713"/>
    <mergeCell ref="L713:O713"/>
    <mergeCell ref="D730:H730"/>
    <mergeCell ref="L730:O730"/>
    <mergeCell ref="D731:H731"/>
    <mergeCell ref="L731:O731"/>
    <mergeCell ref="D728:H728"/>
    <mergeCell ref="L728:O728"/>
    <mergeCell ref="D729:H729"/>
    <mergeCell ref="L729:O729"/>
    <mergeCell ref="D726:H726"/>
    <mergeCell ref="L726:O726"/>
    <mergeCell ref="D727:H727"/>
    <mergeCell ref="L727:O727"/>
    <mergeCell ref="D724:H724"/>
    <mergeCell ref="L724:O724"/>
    <mergeCell ref="D725:H725"/>
    <mergeCell ref="L725:O725"/>
    <mergeCell ref="D722:H722"/>
    <mergeCell ref="L722:O722"/>
    <mergeCell ref="D723:H723"/>
    <mergeCell ref="L723:O723"/>
    <mergeCell ref="D740:H740"/>
    <mergeCell ref="L740:O740"/>
    <mergeCell ref="D741:H741"/>
    <mergeCell ref="L741:O741"/>
    <mergeCell ref="D738:H738"/>
    <mergeCell ref="L738:O738"/>
    <mergeCell ref="D739:H739"/>
    <mergeCell ref="L739:O739"/>
    <mergeCell ref="D736:H736"/>
    <mergeCell ref="L736:O736"/>
    <mergeCell ref="D737:H737"/>
    <mergeCell ref="L737:O737"/>
    <mergeCell ref="D734:H734"/>
    <mergeCell ref="L734:O734"/>
    <mergeCell ref="D735:H735"/>
    <mergeCell ref="L735:O735"/>
    <mergeCell ref="D732:H732"/>
    <mergeCell ref="L732:O732"/>
    <mergeCell ref="D733:H733"/>
    <mergeCell ref="L733:O733"/>
    <mergeCell ref="D750:H750"/>
    <mergeCell ref="L750:O750"/>
    <mergeCell ref="D751:H751"/>
    <mergeCell ref="L751:O751"/>
    <mergeCell ref="D748:H748"/>
    <mergeCell ref="L748:O748"/>
    <mergeCell ref="D749:H749"/>
    <mergeCell ref="L749:O749"/>
    <mergeCell ref="D746:H746"/>
    <mergeCell ref="L746:O746"/>
    <mergeCell ref="D747:H747"/>
    <mergeCell ref="L747:O747"/>
    <mergeCell ref="D744:H744"/>
    <mergeCell ref="L744:O744"/>
    <mergeCell ref="D745:H745"/>
    <mergeCell ref="L745:O745"/>
    <mergeCell ref="D742:H742"/>
    <mergeCell ref="L742:O742"/>
    <mergeCell ref="D743:H743"/>
    <mergeCell ref="L743:O743"/>
    <mergeCell ref="D760:H760"/>
    <mergeCell ref="L760:O760"/>
    <mergeCell ref="D761:H761"/>
    <mergeCell ref="L761:O761"/>
    <mergeCell ref="D758:H758"/>
    <mergeCell ref="L758:O758"/>
    <mergeCell ref="D759:H759"/>
    <mergeCell ref="L759:O759"/>
    <mergeCell ref="D756:H756"/>
    <mergeCell ref="L756:O756"/>
    <mergeCell ref="D757:H757"/>
    <mergeCell ref="L757:O757"/>
    <mergeCell ref="D754:H754"/>
    <mergeCell ref="L754:O754"/>
    <mergeCell ref="D755:H755"/>
    <mergeCell ref="L755:O755"/>
    <mergeCell ref="D752:H752"/>
    <mergeCell ref="L752:O752"/>
    <mergeCell ref="D753:H753"/>
    <mergeCell ref="L753:O753"/>
    <mergeCell ref="D770:H770"/>
    <mergeCell ref="L770:O770"/>
    <mergeCell ref="D771:H771"/>
    <mergeCell ref="L771:O771"/>
    <mergeCell ref="D768:H768"/>
    <mergeCell ref="L768:O768"/>
    <mergeCell ref="D769:H769"/>
    <mergeCell ref="L769:O769"/>
    <mergeCell ref="D766:H766"/>
    <mergeCell ref="L766:O766"/>
    <mergeCell ref="D767:H767"/>
    <mergeCell ref="L767:O767"/>
    <mergeCell ref="D764:H764"/>
    <mergeCell ref="L764:O764"/>
    <mergeCell ref="D765:H765"/>
    <mergeCell ref="L765:O765"/>
    <mergeCell ref="D762:H762"/>
    <mergeCell ref="L762:O762"/>
    <mergeCell ref="D763:H763"/>
    <mergeCell ref="L763:O763"/>
    <mergeCell ref="D780:H780"/>
    <mergeCell ref="L780:O780"/>
    <mergeCell ref="D781:H781"/>
    <mergeCell ref="L781:O781"/>
    <mergeCell ref="D778:H778"/>
    <mergeCell ref="L778:O778"/>
    <mergeCell ref="D779:H779"/>
    <mergeCell ref="L779:O779"/>
    <mergeCell ref="D776:H776"/>
    <mergeCell ref="L776:O776"/>
    <mergeCell ref="D777:H777"/>
    <mergeCell ref="L777:O777"/>
    <mergeCell ref="D774:H774"/>
    <mergeCell ref="L774:O774"/>
    <mergeCell ref="D775:H775"/>
    <mergeCell ref="L775:O775"/>
    <mergeCell ref="D772:H772"/>
    <mergeCell ref="L772:O772"/>
    <mergeCell ref="D773:H773"/>
    <mergeCell ref="L773:O773"/>
    <mergeCell ref="D790:H790"/>
    <mergeCell ref="L790:O790"/>
    <mergeCell ref="D791:H791"/>
    <mergeCell ref="L791:O791"/>
    <mergeCell ref="D788:H788"/>
    <mergeCell ref="L788:O788"/>
    <mergeCell ref="D789:H789"/>
    <mergeCell ref="L789:O789"/>
    <mergeCell ref="D786:H786"/>
    <mergeCell ref="L786:O786"/>
    <mergeCell ref="D787:H787"/>
    <mergeCell ref="L787:O787"/>
    <mergeCell ref="D784:H784"/>
    <mergeCell ref="L784:O784"/>
    <mergeCell ref="D785:H785"/>
    <mergeCell ref="L785:O785"/>
    <mergeCell ref="D782:H782"/>
    <mergeCell ref="L782:O782"/>
    <mergeCell ref="D783:H783"/>
    <mergeCell ref="L783:O783"/>
    <mergeCell ref="D800:H800"/>
    <mergeCell ref="L800:O800"/>
    <mergeCell ref="D801:H801"/>
    <mergeCell ref="L801:O801"/>
    <mergeCell ref="D798:H798"/>
    <mergeCell ref="L798:O798"/>
    <mergeCell ref="D799:H799"/>
    <mergeCell ref="L799:O799"/>
    <mergeCell ref="D796:H796"/>
    <mergeCell ref="L796:O796"/>
    <mergeCell ref="D797:H797"/>
    <mergeCell ref="L797:O797"/>
    <mergeCell ref="D794:H794"/>
    <mergeCell ref="L794:O794"/>
    <mergeCell ref="D795:H795"/>
    <mergeCell ref="L795:O795"/>
    <mergeCell ref="D792:H792"/>
    <mergeCell ref="L792:O792"/>
    <mergeCell ref="D793:H793"/>
    <mergeCell ref="L793:O793"/>
    <mergeCell ref="D810:H810"/>
    <mergeCell ref="L810:O810"/>
    <mergeCell ref="D811:H811"/>
    <mergeCell ref="L811:O811"/>
    <mergeCell ref="D808:H808"/>
    <mergeCell ref="L808:O808"/>
    <mergeCell ref="D809:H809"/>
    <mergeCell ref="L809:O809"/>
    <mergeCell ref="D806:H806"/>
    <mergeCell ref="L806:O806"/>
    <mergeCell ref="D807:H807"/>
    <mergeCell ref="L807:O807"/>
    <mergeCell ref="D804:H804"/>
    <mergeCell ref="L804:O804"/>
    <mergeCell ref="D805:H805"/>
    <mergeCell ref="L805:O805"/>
    <mergeCell ref="D802:H802"/>
    <mergeCell ref="L802:O802"/>
    <mergeCell ref="D803:H803"/>
    <mergeCell ref="L803:O803"/>
    <mergeCell ref="D820:H820"/>
    <mergeCell ref="L820:O820"/>
    <mergeCell ref="D821:H821"/>
    <mergeCell ref="L821:O821"/>
    <mergeCell ref="D818:H818"/>
    <mergeCell ref="L818:O818"/>
    <mergeCell ref="D819:H819"/>
    <mergeCell ref="L819:O819"/>
    <mergeCell ref="D816:H816"/>
    <mergeCell ref="L816:O816"/>
    <mergeCell ref="D817:H817"/>
    <mergeCell ref="L817:O817"/>
    <mergeCell ref="D814:H814"/>
    <mergeCell ref="L814:O814"/>
    <mergeCell ref="D815:H815"/>
    <mergeCell ref="L815:O815"/>
    <mergeCell ref="D812:H812"/>
    <mergeCell ref="L812:O812"/>
    <mergeCell ref="D813:H813"/>
    <mergeCell ref="L813:O813"/>
    <mergeCell ref="D830:H830"/>
    <mergeCell ref="L830:O830"/>
    <mergeCell ref="D831:H831"/>
    <mergeCell ref="L831:O831"/>
    <mergeCell ref="D828:H828"/>
    <mergeCell ref="L828:O828"/>
    <mergeCell ref="D829:H829"/>
    <mergeCell ref="L829:O829"/>
    <mergeCell ref="D826:H826"/>
    <mergeCell ref="L826:O826"/>
    <mergeCell ref="D827:H827"/>
    <mergeCell ref="L827:O827"/>
    <mergeCell ref="D824:H824"/>
    <mergeCell ref="L824:O824"/>
    <mergeCell ref="D825:H825"/>
    <mergeCell ref="L825:O825"/>
    <mergeCell ref="D822:H822"/>
    <mergeCell ref="L822:O822"/>
    <mergeCell ref="D823:H823"/>
    <mergeCell ref="L823:O823"/>
    <mergeCell ref="D840:H840"/>
    <mergeCell ref="L840:O840"/>
    <mergeCell ref="D841:H841"/>
    <mergeCell ref="L841:O841"/>
    <mergeCell ref="D838:H838"/>
    <mergeCell ref="L838:O838"/>
    <mergeCell ref="D839:H839"/>
    <mergeCell ref="L839:O839"/>
    <mergeCell ref="D836:H836"/>
    <mergeCell ref="L836:O836"/>
    <mergeCell ref="D837:H837"/>
    <mergeCell ref="L837:O837"/>
    <mergeCell ref="D834:H834"/>
    <mergeCell ref="L834:O834"/>
    <mergeCell ref="D835:H835"/>
    <mergeCell ref="L835:O835"/>
    <mergeCell ref="D832:H832"/>
    <mergeCell ref="L832:O832"/>
    <mergeCell ref="D833:H833"/>
    <mergeCell ref="L833:O833"/>
    <mergeCell ref="D850:H850"/>
    <mergeCell ref="L850:O850"/>
    <mergeCell ref="D851:H851"/>
    <mergeCell ref="L851:O851"/>
    <mergeCell ref="D848:H848"/>
    <mergeCell ref="L848:O848"/>
    <mergeCell ref="D849:H849"/>
    <mergeCell ref="L849:O849"/>
    <mergeCell ref="D846:H846"/>
    <mergeCell ref="L846:O846"/>
    <mergeCell ref="D847:H847"/>
    <mergeCell ref="L847:O847"/>
    <mergeCell ref="D844:H844"/>
    <mergeCell ref="L844:O844"/>
    <mergeCell ref="D845:H845"/>
    <mergeCell ref="L845:O845"/>
    <mergeCell ref="D842:H842"/>
    <mergeCell ref="L842:O842"/>
    <mergeCell ref="D843:H843"/>
    <mergeCell ref="L843:O843"/>
    <mergeCell ref="D860:H860"/>
    <mergeCell ref="L860:O860"/>
    <mergeCell ref="D861:H861"/>
    <mergeCell ref="L861:O861"/>
    <mergeCell ref="D858:H858"/>
    <mergeCell ref="L858:O858"/>
    <mergeCell ref="D859:H859"/>
    <mergeCell ref="L859:O859"/>
    <mergeCell ref="D856:H856"/>
    <mergeCell ref="L856:O856"/>
    <mergeCell ref="D857:H857"/>
    <mergeCell ref="L857:O857"/>
    <mergeCell ref="D854:H854"/>
    <mergeCell ref="L854:O854"/>
    <mergeCell ref="D855:H855"/>
    <mergeCell ref="L855:O855"/>
    <mergeCell ref="D852:H852"/>
    <mergeCell ref="L852:O852"/>
    <mergeCell ref="D853:H853"/>
    <mergeCell ref="L853:O853"/>
    <mergeCell ref="D870:H870"/>
    <mergeCell ref="L870:O870"/>
    <mergeCell ref="D871:H871"/>
    <mergeCell ref="L871:O871"/>
    <mergeCell ref="D868:H868"/>
    <mergeCell ref="L868:O868"/>
    <mergeCell ref="D869:H869"/>
    <mergeCell ref="L869:O869"/>
    <mergeCell ref="D866:H866"/>
    <mergeCell ref="L866:O866"/>
    <mergeCell ref="D867:H867"/>
    <mergeCell ref="L867:O867"/>
    <mergeCell ref="D864:H864"/>
    <mergeCell ref="L864:O864"/>
    <mergeCell ref="D865:H865"/>
    <mergeCell ref="L865:O865"/>
    <mergeCell ref="D862:H862"/>
    <mergeCell ref="L862:O862"/>
    <mergeCell ref="D863:H863"/>
    <mergeCell ref="L863:O863"/>
    <mergeCell ref="D880:H880"/>
    <mergeCell ref="L880:O880"/>
    <mergeCell ref="D881:H881"/>
    <mergeCell ref="L881:O881"/>
    <mergeCell ref="D878:H878"/>
    <mergeCell ref="L878:O878"/>
    <mergeCell ref="D879:H879"/>
    <mergeCell ref="L879:O879"/>
    <mergeCell ref="D876:H876"/>
    <mergeCell ref="L876:O876"/>
    <mergeCell ref="D877:H877"/>
    <mergeCell ref="L877:O877"/>
    <mergeCell ref="D874:H874"/>
    <mergeCell ref="L874:O874"/>
    <mergeCell ref="D875:H875"/>
    <mergeCell ref="L875:O875"/>
    <mergeCell ref="D872:H872"/>
    <mergeCell ref="L872:O872"/>
    <mergeCell ref="D873:H873"/>
    <mergeCell ref="L873:O873"/>
    <mergeCell ref="D890:H890"/>
    <mergeCell ref="L890:O890"/>
    <mergeCell ref="D891:H891"/>
    <mergeCell ref="L891:O891"/>
    <mergeCell ref="D888:H888"/>
    <mergeCell ref="L888:O888"/>
    <mergeCell ref="D889:H889"/>
    <mergeCell ref="L889:O889"/>
    <mergeCell ref="D886:H886"/>
    <mergeCell ref="L886:O886"/>
    <mergeCell ref="D887:H887"/>
    <mergeCell ref="L887:O887"/>
    <mergeCell ref="D884:H884"/>
    <mergeCell ref="L884:O884"/>
    <mergeCell ref="D885:H885"/>
    <mergeCell ref="L885:O885"/>
    <mergeCell ref="D882:H882"/>
    <mergeCell ref="L882:O882"/>
    <mergeCell ref="D883:H883"/>
    <mergeCell ref="L883:O883"/>
    <mergeCell ref="D900:H900"/>
    <mergeCell ref="L900:O900"/>
    <mergeCell ref="D901:H901"/>
    <mergeCell ref="L901:O901"/>
    <mergeCell ref="D898:H898"/>
    <mergeCell ref="L898:O898"/>
    <mergeCell ref="D899:H899"/>
    <mergeCell ref="L899:O899"/>
    <mergeCell ref="D896:H896"/>
    <mergeCell ref="L896:O896"/>
    <mergeCell ref="D897:H897"/>
    <mergeCell ref="L897:O897"/>
    <mergeCell ref="D894:H894"/>
    <mergeCell ref="L894:O894"/>
    <mergeCell ref="D895:H895"/>
    <mergeCell ref="L895:O895"/>
    <mergeCell ref="D892:H892"/>
    <mergeCell ref="L892:O892"/>
    <mergeCell ref="D893:H893"/>
    <mergeCell ref="L893:O893"/>
    <mergeCell ref="D910:H910"/>
    <mergeCell ref="L910:O910"/>
    <mergeCell ref="D911:H911"/>
    <mergeCell ref="L911:O911"/>
    <mergeCell ref="D908:H908"/>
    <mergeCell ref="L908:O908"/>
    <mergeCell ref="D909:H909"/>
    <mergeCell ref="L909:O909"/>
    <mergeCell ref="D906:H906"/>
    <mergeCell ref="L906:O906"/>
    <mergeCell ref="D907:H907"/>
    <mergeCell ref="L907:O907"/>
    <mergeCell ref="D904:H904"/>
    <mergeCell ref="L904:O904"/>
    <mergeCell ref="D905:H905"/>
    <mergeCell ref="L905:O905"/>
    <mergeCell ref="D902:H902"/>
    <mergeCell ref="L902:O902"/>
    <mergeCell ref="D903:H903"/>
    <mergeCell ref="L903:O903"/>
    <mergeCell ref="D920:H920"/>
    <mergeCell ref="L920:O920"/>
    <mergeCell ref="D921:H921"/>
    <mergeCell ref="L921:O921"/>
    <mergeCell ref="D918:H918"/>
    <mergeCell ref="L918:O918"/>
    <mergeCell ref="D919:H919"/>
    <mergeCell ref="L919:O919"/>
    <mergeCell ref="D916:H916"/>
    <mergeCell ref="L916:O916"/>
    <mergeCell ref="D917:H917"/>
    <mergeCell ref="L917:O917"/>
    <mergeCell ref="D914:H914"/>
    <mergeCell ref="L914:O914"/>
    <mergeCell ref="D915:H915"/>
    <mergeCell ref="L915:O915"/>
    <mergeCell ref="D912:H912"/>
    <mergeCell ref="L912:O912"/>
    <mergeCell ref="D913:H913"/>
    <mergeCell ref="L913:O913"/>
    <mergeCell ref="D930:H930"/>
    <mergeCell ref="L930:O930"/>
    <mergeCell ref="D931:H931"/>
    <mergeCell ref="L931:O931"/>
    <mergeCell ref="D928:H928"/>
    <mergeCell ref="L928:O928"/>
    <mergeCell ref="D929:H929"/>
    <mergeCell ref="L929:O929"/>
    <mergeCell ref="D926:H926"/>
    <mergeCell ref="L926:O926"/>
    <mergeCell ref="D927:H927"/>
    <mergeCell ref="L927:O927"/>
    <mergeCell ref="D924:H924"/>
    <mergeCell ref="L924:O924"/>
    <mergeCell ref="D925:H925"/>
    <mergeCell ref="L925:O925"/>
    <mergeCell ref="D922:H922"/>
    <mergeCell ref="L922:O922"/>
    <mergeCell ref="D923:H923"/>
    <mergeCell ref="L923:O923"/>
    <mergeCell ref="D940:H940"/>
    <mergeCell ref="L940:O940"/>
    <mergeCell ref="D941:H941"/>
    <mergeCell ref="L941:O941"/>
    <mergeCell ref="D938:H938"/>
    <mergeCell ref="L938:O938"/>
    <mergeCell ref="D939:H939"/>
    <mergeCell ref="L939:O939"/>
    <mergeCell ref="D936:H936"/>
    <mergeCell ref="L936:O936"/>
    <mergeCell ref="D937:H937"/>
    <mergeCell ref="L937:O937"/>
    <mergeCell ref="D934:H934"/>
    <mergeCell ref="L934:O934"/>
    <mergeCell ref="D935:H935"/>
    <mergeCell ref="L935:O935"/>
    <mergeCell ref="D932:H932"/>
    <mergeCell ref="L932:O932"/>
    <mergeCell ref="D933:H933"/>
    <mergeCell ref="L933:O933"/>
    <mergeCell ref="D950:H950"/>
    <mergeCell ref="L950:O950"/>
    <mergeCell ref="D951:H951"/>
    <mergeCell ref="L951:O951"/>
    <mergeCell ref="D948:H948"/>
    <mergeCell ref="L948:O948"/>
    <mergeCell ref="D949:H949"/>
    <mergeCell ref="L949:O949"/>
    <mergeCell ref="D946:H946"/>
    <mergeCell ref="L946:O946"/>
    <mergeCell ref="D947:H947"/>
    <mergeCell ref="L947:O947"/>
    <mergeCell ref="D944:H944"/>
    <mergeCell ref="L944:O944"/>
    <mergeCell ref="D945:H945"/>
    <mergeCell ref="L945:O945"/>
    <mergeCell ref="D942:H942"/>
    <mergeCell ref="L942:O942"/>
    <mergeCell ref="D943:H943"/>
    <mergeCell ref="L943:O943"/>
    <mergeCell ref="D960:H960"/>
    <mergeCell ref="L960:O960"/>
    <mergeCell ref="D961:H961"/>
    <mergeCell ref="L961:O961"/>
    <mergeCell ref="D958:H958"/>
    <mergeCell ref="L958:O958"/>
    <mergeCell ref="D959:H959"/>
    <mergeCell ref="L959:O959"/>
    <mergeCell ref="D956:H956"/>
    <mergeCell ref="L956:O956"/>
    <mergeCell ref="D957:H957"/>
    <mergeCell ref="L957:O957"/>
    <mergeCell ref="D954:H954"/>
    <mergeCell ref="L954:O954"/>
    <mergeCell ref="D955:H955"/>
    <mergeCell ref="L955:O955"/>
    <mergeCell ref="D952:H952"/>
    <mergeCell ref="L952:O952"/>
    <mergeCell ref="D953:H953"/>
    <mergeCell ref="L953:O953"/>
    <mergeCell ref="D970:H970"/>
    <mergeCell ref="L970:O970"/>
    <mergeCell ref="D971:H971"/>
    <mergeCell ref="L971:O971"/>
    <mergeCell ref="D968:H968"/>
    <mergeCell ref="L968:O968"/>
    <mergeCell ref="D969:H969"/>
    <mergeCell ref="L969:O969"/>
    <mergeCell ref="D966:H966"/>
    <mergeCell ref="L966:O966"/>
    <mergeCell ref="D967:H967"/>
    <mergeCell ref="L967:O967"/>
    <mergeCell ref="D964:H964"/>
    <mergeCell ref="L964:O964"/>
    <mergeCell ref="D965:H965"/>
    <mergeCell ref="L965:O965"/>
    <mergeCell ref="D962:H962"/>
    <mergeCell ref="L962:O962"/>
    <mergeCell ref="D963:H963"/>
    <mergeCell ref="L963:O963"/>
    <mergeCell ref="D980:H980"/>
    <mergeCell ref="L980:O980"/>
    <mergeCell ref="D981:H981"/>
    <mergeCell ref="L981:O981"/>
    <mergeCell ref="D978:H978"/>
    <mergeCell ref="L978:O978"/>
    <mergeCell ref="D979:H979"/>
    <mergeCell ref="L979:O979"/>
    <mergeCell ref="D976:H976"/>
    <mergeCell ref="L976:O976"/>
    <mergeCell ref="D977:H977"/>
    <mergeCell ref="L977:O977"/>
    <mergeCell ref="D974:H974"/>
    <mergeCell ref="L974:O974"/>
    <mergeCell ref="D975:H975"/>
    <mergeCell ref="L975:O975"/>
    <mergeCell ref="D972:H972"/>
    <mergeCell ref="L972:O972"/>
    <mergeCell ref="D973:H973"/>
    <mergeCell ref="L973:O973"/>
    <mergeCell ref="L990:O990"/>
    <mergeCell ref="D991:H991"/>
    <mergeCell ref="L991:O991"/>
    <mergeCell ref="D988:H988"/>
    <mergeCell ref="L988:O988"/>
    <mergeCell ref="D989:H989"/>
    <mergeCell ref="L989:O989"/>
    <mergeCell ref="D986:H986"/>
    <mergeCell ref="L986:O986"/>
    <mergeCell ref="D987:H987"/>
    <mergeCell ref="L987:O987"/>
    <mergeCell ref="D984:H984"/>
    <mergeCell ref="L984:O984"/>
    <mergeCell ref="D985:H985"/>
    <mergeCell ref="L985:O985"/>
    <mergeCell ref="D982:H982"/>
    <mergeCell ref="L982:O982"/>
    <mergeCell ref="D983:H983"/>
    <mergeCell ref="L983:O983"/>
    <mergeCell ref="D1012:H1012"/>
    <mergeCell ref="L1012:O1012"/>
    <mergeCell ref="D1013:H1013"/>
    <mergeCell ref="L1013:O1013"/>
    <mergeCell ref="D1010:H1010"/>
    <mergeCell ref="L1010:O1010"/>
    <mergeCell ref="D1011:H1011"/>
    <mergeCell ref="L1011:O1011"/>
    <mergeCell ref="D1008:H1008"/>
    <mergeCell ref="L1008:O1008"/>
    <mergeCell ref="D1009:H1009"/>
    <mergeCell ref="L1009:O1009"/>
    <mergeCell ref="D1006:H1006"/>
    <mergeCell ref="L1006:O1006"/>
    <mergeCell ref="D1007:H1007"/>
    <mergeCell ref="L1007:O1007"/>
    <mergeCell ref="D1004:H1004"/>
    <mergeCell ref="L1004:O1004"/>
    <mergeCell ref="D1005:H1005"/>
    <mergeCell ref="L1005:O1005"/>
    <mergeCell ref="F1:H1"/>
    <mergeCell ref="L1:N1"/>
    <mergeCell ref="I1:K1"/>
    <mergeCell ref="O1:R1"/>
    <mergeCell ref="A1:C9"/>
    <mergeCell ref="O2:P2"/>
    <mergeCell ref="Q2:R2"/>
    <mergeCell ref="D1002:H1002"/>
    <mergeCell ref="L1002:O1002"/>
    <mergeCell ref="D1003:H1003"/>
    <mergeCell ref="L1003:O1003"/>
    <mergeCell ref="D1000:H1000"/>
    <mergeCell ref="L1000:O1000"/>
    <mergeCell ref="D1001:H1001"/>
    <mergeCell ref="L1001:O1001"/>
    <mergeCell ref="D998:H998"/>
    <mergeCell ref="L998:O998"/>
    <mergeCell ref="D999:H999"/>
    <mergeCell ref="L999:O999"/>
    <mergeCell ref="D996:H996"/>
    <mergeCell ref="L996:O996"/>
    <mergeCell ref="D997:H997"/>
    <mergeCell ref="L997:O997"/>
    <mergeCell ref="D994:H994"/>
    <mergeCell ref="L994:O994"/>
    <mergeCell ref="D995:H995"/>
    <mergeCell ref="L995:O995"/>
    <mergeCell ref="D992:H992"/>
    <mergeCell ref="L992:O992"/>
    <mergeCell ref="D993:H993"/>
    <mergeCell ref="L993:O993"/>
    <mergeCell ref="D990:H990"/>
  </mergeCells>
  <dataValidations xWindow="1550" yWindow="871" count="5">
    <dataValidation type="list" showInputMessage="1" showErrorMessage="1" error="You must select an expense classification" prompt="Select an expense classification for this payment" sqref="J13:J1013" xr:uid="{00000000-0002-0000-0800-000000000000}">
      <formula1>$V$2:$V$3</formula1>
    </dataValidation>
    <dataValidation type="list" allowBlank="1" showInputMessage="1" showErrorMessage="1" prompt="Select the method/form of payment" sqref="I13:I50" xr:uid="{00000000-0002-0000-0800-000001000000}">
      <formula1>$Z$1:$Z$4</formula1>
    </dataValidation>
    <dataValidation type="list" allowBlank="1" showInputMessage="1" showErrorMessage="1" prompt="Select the method of payment used" sqref="I51:I1013" xr:uid="{00000000-0002-0000-0800-000002000000}">
      <formula1>$Z$1:$Z$4</formula1>
    </dataValidation>
    <dataValidation type="list" showInputMessage="1" showErrorMessage="1" error="You must select an expense classification" prompt="Is this a Chapter, House, or Kitchen expense?" sqref="K13:K1013" xr:uid="{00000000-0002-0000-0800-000003000000}">
      <formula1>$AA$1:$AA$3</formula1>
    </dataValidation>
    <dataValidation type="list" showInputMessage="1" showErrorMessage="1" error="You must select a line item for this payment" prompt="Select a single line item for which the amount is intended" sqref="L13:O1013" xr:uid="{00000000-0002-0000-0800-000004000000}">
      <formula1>$W$3:$W$77</formula1>
    </dataValidation>
  </dataValidations>
  <pageMargins left="0.7" right="0.7" top="0.75" bottom="0.75" header="0.3" footer="0.3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showGridLines="0"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INSTRUCTIONS</vt:lpstr>
      <vt:lpstr>DASHBOARD</vt:lpstr>
      <vt:lpstr>Membership Record</vt:lpstr>
      <vt:lpstr>Ch Operations Budget Worksheet</vt:lpstr>
      <vt:lpstr>House-Kitchen Budget Worksheet</vt:lpstr>
      <vt:lpstr>BUDGET</vt:lpstr>
      <vt:lpstr>Candidate-Initiation Fee Tracke</vt:lpstr>
      <vt:lpstr>Accounts Receivable-Collections</vt:lpstr>
      <vt:lpstr>Payment Registry</vt:lpstr>
      <vt:lpstr>NOTES</vt:lpstr>
      <vt:lpstr>BUDGET!Print_Area</vt:lpstr>
      <vt:lpstr>'Candidate-Initiation Fee Tracke'!Print_Area</vt:lpstr>
      <vt:lpstr>'Ch Operations Budget Worksheet'!Print_Area</vt:lpstr>
      <vt:lpstr>DASHBOARD!Print_Area</vt:lpstr>
      <vt:lpstr>'House-Kitchen Budget Worksheet'!Print_Area</vt:lpstr>
      <vt:lpstr>INSTRUCTIONS!Print_Area</vt:lpstr>
      <vt:lpstr>'Membership Record'!Print_Area</vt:lpstr>
      <vt:lpstr>'Payment Registry'!Print_Area</vt:lpstr>
      <vt:lpstr>'Accounts Receivable-Collections'!Print_Titles</vt:lpstr>
      <vt:lpstr>BUDGET!Print_Titles</vt:lpstr>
      <vt:lpstr>'Candidate-Initiation Fee Tracke'!Print_Titles</vt:lpstr>
      <vt:lpstr>'Ch Operations Budget Worksheet'!Print_Titles</vt:lpstr>
      <vt:lpstr>'Membership Record'!Print_Titles</vt:lpstr>
      <vt:lpstr>'Payment Registry'!Print_Titles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 Wenger</dc:creator>
  <cp:lastModifiedBy>Nicholas L. Murphy</cp:lastModifiedBy>
  <cp:lastPrinted>2013-01-18T19:27:27Z</cp:lastPrinted>
  <dcterms:created xsi:type="dcterms:W3CDTF">2012-11-28T18:37:56Z</dcterms:created>
  <dcterms:modified xsi:type="dcterms:W3CDTF">2020-09-15T14:17:14Z</dcterms:modified>
</cp:coreProperties>
</file>